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Shared drives\Resources\Tools\Structural Calculators\"/>
    </mc:Choice>
  </mc:AlternateContent>
  <xr:revisionPtr revIDLastSave="0" documentId="13_ncr:1_{6925B775-C194-422B-95F5-80872B3B7E73}" xr6:coauthVersionLast="47" xr6:coauthVersionMax="47" xr10:uidLastSave="{00000000-0000-0000-0000-000000000000}"/>
  <bookViews>
    <workbookView xWindow="-120" yWindow="-120" windowWidth="29040" windowHeight="15840" xr2:uid="{017C7839-07DF-411C-9393-C5AC859ACA3E}"/>
  </bookViews>
  <sheets>
    <sheet name="BM-01N" sheetId="1" r:id="rId1"/>
  </sheets>
  <definedNames>
    <definedName name="_xlnm.Print_Area" localSheetId="0">'BM-01N'!$A$1:$I$115</definedName>
    <definedName name="_xlnm.Print_Titles" localSheetId="0">'BM-01N'!$1:$2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24" i="1" l="1"/>
  <c r="L43" i="1"/>
  <c r="M43" i="1"/>
  <c r="N43" i="1"/>
  <c r="O43" i="1"/>
  <c r="P43" i="1"/>
  <c r="Q38" i="1"/>
  <c r="C15" i="1"/>
  <c r="C29" i="1"/>
  <c r="M113" i="1" s="1"/>
  <c r="C28" i="1"/>
  <c r="M99" i="1" s="1"/>
  <c r="C99" i="1" s="1"/>
  <c r="H29" i="1"/>
  <c r="C38" i="1" s="1"/>
  <c r="C39" i="1" s="1"/>
  <c r="D15" i="1"/>
  <c r="D14" i="1"/>
  <c r="G15" i="1"/>
  <c r="C14" i="1"/>
  <c r="H15" i="1"/>
  <c r="F14" i="1"/>
  <c r="F15" i="1"/>
  <c r="E115" i="1"/>
  <c r="D115" i="1"/>
  <c r="B115" i="1"/>
  <c r="A115" i="1"/>
  <c r="E114" i="1"/>
  <c r="D114" i="1"/>
  <c r="B114" i="1"/>
  <c r="A114" i="1"/>
  <c r="E113" i="1"/>
  <c r="D113" i="1"/>
  <c r="C113" i="1"/>
  <c r="B113" i="1"/>
  <c r="A113" i="1"/>
  <c r="D112" i="1"/>
  <c r="B112" i="1"/>
  <c r="A112" i="1"/>
  <c r="E111" i="1"/>
  <c r="D111" i="1"/>
  <c r="C111" i="1"/>
  <c r="B111" i="1"/>
  <c r="A111" i="1"/>
  <c r="E110" i="1"/>
  <c r="D110" i="1"/>
  <c r="B110" i="1"/>
  <c r="A110" i="1"/>
  <c r="E109" i="1"/>
  <c r="D109" i="1"/>
  <c r="B109" i="1"/>
  <c r="A109" i="1"/>
  <c r="E108" i="1"/>
  <c r="D108" i="1"/>
  <c r="B108" i="1"/>
  <c r="A108" i="1"/>
  <c r="E107" i="1"/>
  <c r="D107" i="1"/>
  <c r="C107" i="1"/>
  <c r="B107" i="1"/>
  <c r="A107" i="1"/>
  <c r="E106" i="1"/>
  <c r="D106" i="1"/>
  <c r="B106" i="1"/>
  <c r="A106" i="1"/>
  <c r="E105" i="1"/>
  <c r="D105" i="1"/>
  <c r="B105" i="1"/>
  <c r="A105" i="1"/>
  <c r="E104" i="1"/>
  <c r="D104" i="1"/>
  <c r="B104" i="1"/>
  <c r="A104" i="1"/>
  <c r="A103" i="1"/>
  <c r="M107" i="1"/>
  <c r="M108" i="1" s="1"/>
  <c r="M109" i="1" s="1"/>
  <c r="C109" i="1" s="1"/>
  <c r="M106" i="1"/>
  <c r="M92" i="1"/>
  <c r="C92" i="1" s="1"/>
  <c r="E101" i="1"/>
  <c r="D101" i="1"/>
  <c r="B101" i="1"/>
  <c r="A101" i="1"/>
  <c r="E100" i="1"/>
  <c r="D100" i="1"/>
  <c r="B100" i="1"/>
  <c r="A100" i="1"/>
  <c r="E99" i="1"/>
  <c r="D99" i="1"/>
  <c r="B99" i="1"/>
  <c r="A99" i="1"/>
  <c r="D98" i="1"/>
  <c r="B98" i="1"/>
  <c r="A98" i="1"/>
  <c r="E97" i="1"/>
  <c r="D97" i="1"/>
  <c r="C97" i="1"/>
  <c r="B97" i="1"/>
  <c r="A97" i="1"/>
  <c r="E96" i="1"/>
  <c r="D96" i="1"/>
  <c r="B96" i="1"/>
  <c r="A96" i="1"/>
  <c r="E95" i="1"/>
  <c r="D95" i="1"/>
  <c r="B95" i="1"/>
  <c r="A95" i="1"/>
  <c r="E94" i="1"/>
  <c r="D94" i="1"/>
  <c r="B94" i="1"/>
  <c r="A94" i="1"/>
  <c r="E93" i="1"/>
  <c r="D93" i="1"/>
  <c r="B93" i="1"/>
  <c r="A93" i="1"/>
  <c r="E92" i="1"/>
  <c r="D92" i="1"/>
  <c r="B92" i="1"/>
  <c r="A92" i="1"/>
  <c r="E91" i="1"/>
  <c r="D91" i="1"/>
  <c r="C91" i="1"/>
  <c r="B91" i="1"/>
  <c r="A91" i="1"/>
  <c r="E90" i="1"/>
  <c r="D90" i="1"/>
  <c r="B90" i="1"/>
  <c r="A90" i="1"/>
  <c r="A89" i="1"/>
  <c r="C79" i="1"/>
  <c r="C71" i="1"/>
  <c r="C25" i="1"/>
  <c r="M93" i="1"/>
  <c r="M94" i="1" s="1"/>
  <c r="P38" i="1" l="1"/>
  <c r="N38" i="1"/>
  <c r="O38" i="1"/>
  <c r="L38" i="1"/>
  <c r="M38" i="1"/>
  <c r="H14" i="1"/>
  <c r="G14" i="1"/>
  <c r="C108" i="1"/>
  <c r="C94" i="1"/>
  <c r="M110" i="1"/>
  <c r="C110" i="1" s="1"/>
  <c r="C93" i="1"/>
  <c r="M95" i="1"/>
  <c r="M112" i="1" l="1"/>
  <c r="M114" i="1"/>
  <c r="M96" i="1"/>
  <c r="C95" i="1"/>
  <c r="M100" i="1"/>
  <c r="C100" i="1" l="1"/>
  <c r="C104" i="1"/>
  <c r="M104" i="1"/>
  <c r="C114" i="1"/>
  <c r="M115" i="1"/>
  <c r="E112" i="1"/>
  <c r="C112" i="1"/>
  <c r="M98" i="1"/>
  <c r="M90" i="1" s="1"/>
  <c r="M101" i="1" s="1"/>
  <c r="C96" i="1"/>
  <c r="C98" i="1" l="1"/>
  <c r="E98" i="1"/>
  <c r="C90" i="1" l="1"/>
  <c r="C101" i="1"/>
  <c r="F12" i="1" s="1"/>
  <c r="C63" i="1" l="1"/>
  <c r="C64" i="1"/>
  <c r="C72" i="1"/>
  <c r="C73" i="1" s="1"/>
  <c r="C27" i="1"/>
  <c r="C23" i="1"/>
  <c r="A19" i="1"/>
  <c r="H26" i="1"/>
  <c r="S38" i="1" l="1"/>
  <c r="S40" i="1" s="1"/>
  <c r="R38" i="1"/>
  <c r="S91" i="1"/>
  <c r="S105" i="1"/>
  <c r="C62" i="1"/>
  <c r="C56" i="1"/>
  <c r="C55" i="1"/>
  <c r="C81" i="1"/>
  <c r="C83" i="1"/>
  <c r="C80" i="1"/>
  <c r="C75" i="1"/>
  <c r="C76" i="1" s="1"/>
  <c r="F10" i="1" s="1"/>
  <c r="Q43" i="1"/>
  <c r="N40" i="1"/>
  <c r="L40" i="1"/>
  <c r="M40" i="1"/>
  <c r="O40" i="1"/>
  <c r="P40" i="1"/>
  <c r="Q40" i="1"/>
  <c r="B5" i="1"/>
  <c r="B4" i="1"/>
  <c r="B3" i="1"/>
  <c r="S106" i="1" l="1"/>
  <c r="C105" i="1"/>
  <c r="S92" i="1"/>
  <c r="S101" i="1" s="1"/>
  <c r="C82" i="1"/>
  <c r="C85" i="1" s="1"/>
  <c r="C86" i="1" s="1"/>
  <c r="C87" i="1" s="1"/>
  <c r="F11" i="1" s="1"/>
  <c r="T42" i="1"/>
  <c r="L44" i="1" s="1" a="1"/>
  <c r="L44" i="1" s="1"/>
  <c r="C11" i="1" s="1"/>
  <c r="R40" i="1"/>
  <c r="T37" i="1" s="1"/>
  <c r="A20" i="1" l="1" a="1"/>
  <c r="A20" i="1" s="1"/>
  <c r="F9" i="1" a="1"/>
  <c r="F9" i="1" s="1"/>
  <c r="S115" i="1"/>
  <c r="C115" i="1" s="1"/>
  <c r="F13" i="1" s="1"/>
  <c r="C106" i="1"/>
  <c r="C37" i="1"/>
  <c r="C68" i="1" s="1"/>
  <c r="C13" i="1" s="1"/>
  <c r="C9" i="1" a="1"/>
  <c r="C9" i="1" s="1"/>
  <c r="B9" i="1" a="1"/>
  <c r="B9" i="1" s="1"/>
  <c r="B10" i="1" a="1"/>
  <c r="B10" i="1" s="1"/>
  <c r="B11" i="1" s="1"/>
  <c r="B12" i="1" s="1"/>
  <c r="B13" i="1" s="1"/>
  <c r="G13" i="1" l="1"/>
  <c r="H13" i="1"/>
  <c r="C40" i="1"/>
  <c r="H11" i="1"/>
  <c r="G11" i="1"/>
  <c r="H9" i="1"/>
  <c r="G9" i="1"/>
  <c r="C41" i="1" l="1"/>
  <c r="C42" i="1" l="1"/>
  <c r="C48" i="1"/>
  <c r="C49" i="1" s="1"/>
  <c r="C50" i="1" l="1"/>
  <c r="C44" i="1"/>
  <c r="C45" i="1"/>
  <c r="C46" i="1" s="1"/>
  <c r="C51" i="1" l="1"/>
  <c r="C52" i="1"/>
  <c r="C66" i="1" s="1"/>
  <c r="C65" i="1" l="1"/>
  <c r="C67" i="1" s="1"/>
  <c r="C12" i="1" s="1"/>
  <c r="C58" i="1"/>
  <c r="C57" i="1"/>
  <c r="C59" i="1" l="1"/>
  <c r="C10" i="1" s="1"/>
  <c r="H10" i="1" s="1"/>
  <c r="G12" i="1"/>
  <c r="H12" i="1"/>
  <c r="G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<sst xmlns="http://schemas.openxmlformats.org/spreadsheetml/2006/main" count="381" uniqueCount="230">
  <si>
    <t>D</t>
  </si>
  <si>
    <t>L</t>
  </si>
  <si>
    <t>P</t>
  </si>
  <si>
    <t>lbs</t>
  </si>
  <si>
    <t>Allowable soil bearing pressure</t>
  </si>
  <si>
    <t>psf</t>
  </si>
  <si>
    <t>W</t>
  </si>
  <si>
    <t>inches</t>
  </si>
  <si>
    <t>b</t>
  </si>
  <si>
    <t>A</t>
  </si>
  <si>
    <t>h</t>
  </si>
  <si>
    <t>Design concrete compressive strength</t>
  </si>
  <si>
    <t>psi</t>
  </si>
  <si>
    <t>d</t>
  </si>
  <si>
    <t>a</t>
  </si>
  <si>
    <t>Checked Conditions</t>
  </si>
  <si>
    <t>* Applicable calculations are based on ACI 318</t>
  </si>
  <si>
    <t>Dead Load</t>
  </si>
  <si>
    <t>Live Load</t>
  </si>
  <si>
    <t>Snow Load</t>
  </si>
  <si>
    <t>S</t>
  </si>
  <si>
    <t>bars</t>
  </si>
  <si>
    <t>* Building Code:  IBC 2018</t>
  </si>
  <si>
    <t>Member Report</t>
  </si>
  <si>
    <t>Existing Strip Footing @ BM-01 (North)</t>
  </si>
  <si>
    <t>Footing Size:</t>
  </si>
  <si>
    <t>Longitudinal Reinforcing:</t>
  </si>
  <si>
    <t>Transverse Reinforcing:</t>
  </si>
  <si>
    <t>Load Combo</t>
  </si>
  <si>
    <t>Max.</t>
  </si>
  <si>
    <t>Allowed</t>
  </si>
  <si>
    <t>Check</t>
  </si>
  <si>
    <t>Soil Bearing Pressure</t>
  </si>
  <si>
    <t>&lt;</t>
  </si>
  <si>
    <t>Loads</t>
  </si>
  <si>
    <t>Wind Load</t>
  </si>
  <si>
    <t>Total Load</t>
  </si>
  <si>
    <t>D + L</t>
  </si>
  <si>
    <t>D + S</t>
  </si>
  <si>
    <t>D + 0.75L + 0.75S</t>
  </si>
  <si>
    <t>D + 0.6W</t>
  </si>
  <si>
    <t>D + 0.7E</t>
  </si>
  <si>
    <t>D + 0.525E + 0.75L + 0.75S</t>
  </si>
  <si>
    <t>Seismic Vertical</t>
  </si>
  <si>
    <t>Seismic Overturning</t>
  </si>
  <si>
    <t>D + 0.75L + 0.45W + 0.75S</t>
  </si>
  <si>
    <r>
      <t>E</t>
    </r>
    <r>
      <rPr>
        <vertAlign val="subscript"/>
        <sz val="11"/>
        <color theme="1"/>
        <rFont val="Calibri"/>
        <family val="2"/>
        <scheme val="minor"/>
      </rPr>
      <t>v</t>
    </r>
  </si>
  <si>
    <r>
      <t>E</t>
    </r>
    <r>
      <rPr>
        <vertAlign val="subscript"/>
        <sz val="11"/>
        <color theme="1"/>
        <rFont val="Calibri"/>
        <family val="2"/>
        <scheme val="minor"/>
      </rPr>
      <t>OT</t>
    </r>
  </si>
  <si>
    <r>
      <t>S</t>
    </r>
    <r>
      <rPr>
        <vertAlign val="subscript"/>
        <sz val="11"/>
        <color theme="1"/>
        <rFont val="Calibri"/>
        <family val="2"/>
        <scheme val="minor"/>
      </rPr>
      <t>DS</t>
    </r>
  </si>
  <si>
    <t>Design short-period spectral response factor</t>
  </si>
  <si>
    <t>g</t>
  </si>
  <si>
    <t>Reduction for Short-Term Loading?</t>
  </si>
  <si>
    <t>Effective Load</t>
  </si>
  <si>
    <t>Footing &amp; Load Geometry</t>
  </si>
  <si>
    <t>Footing Bearing Area</t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</si>
  <si>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</si>
  <si>
    <t>Load Eccentricity (along Longitudinal Axis)</t>
  </si>
  <si>
    <r>
      <t>e</t>
    </r>
    <r>
      <rPr>
        <vertAlign val="subscript"/>
        <sz val="11"/>
        <color theme="1"/>
        <rFont val="Calibri"/>
        <family val="2"/>
        <scheme val="minor"/>
      </rPr>
      <t>l</t>
    </r>
  </si>
  <si>
    <t>in</t>
  </si>
  <si>
    <t>Self Weight</t>
  </si>
  <si>
    <t>Concrete Density</t>
  </si>
  <si>
    <t>pcf</t>
  </si>
  <si>
    <r>
      <t>D</t>
    </r>
    <r>
      <rPr>
        <vertAlign val="subscript"/>
        <sz val="11"/>
        <color theme="1"/>
        <rFont val="Calibri"/>
        <family val="2"/>
        <scheme val="minor"/>
      </rPr>
      <t>self</t>
    </r>
  </si>
  <si>
    <t>One Way Shear</t>
  </si>
  <si>
    <t>Cross Section Width</t>
  </si>
  <si>
    <t>Effective Depth</t>
  </si>
  <si>
    <t>Assume no contribution from reinforcement</t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</si>
  <si>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</si>
  <si>
    <t>Shear Strength Reduction Factor</t>
  </si>
  <si>
    <t>ɸ</t>
  </si>
  <si>
    <r>
      <t>ɸ</t>
    </r>
    <r>
      <rPr>
        <vertAlign val="subscript"/>
        <sz val="11"/>
        <color theme="1"/>
        <rFont val="Calibri"/>
        <family val="2"/>
      </rPr>
      <t>V</t>
    </r>
  </si>
  <si>
    <t>(ACI 318 Table 21.2.1)</t>
  </si>
  <si>
    <t>Material Properties</t>
  </si>
  <si>
    <r>
      <t>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'</t>
    </r>
  </si>
  <si>
    <t>Steel yield stress</t>
  </si>
  <si>
    <r>
      <t>b</t>
    </r>
    <r>
      <rPr>
        <vertAlign val="subscript"/>
        <sz val="11"/>
        <color theme="1"/>
        <rFont val="Calibri"/>
        <family val="2"/>
        <scheme val="minor"/>
      </rPr>
      <t>l</t>
    </r>
  </si>
  <si>
    <r>
      <t>V</t>
    </r>
    <r>
      <rPr>
        <vertAlign val="subscript"/>
        <sz val="11"/>
        <color theme="1"/>
        <rFont val="Calibri"/>
        <family val="2"/>
        <scheme val="minor"/>
      </rPr>
      <t>c</t>
    </r>
  </si>
  <si>
    <t>Nominal concrete shear strength</t>
  </si>
  <si>
    <t>(ACI 318 Eq. 22.5.5.1)</t>
  </si>
  <si>
    <t>Nominal one-way shear strength</t>
  </si>
  <si>
    <r>
      <t>V</t>
    </r>
    <r>
      <rPr>
        <vertAlign val="subscript"/>
        <sz val="11"/>
        <color theme="1"/>
        <rFont val="Calibri"/>
        <family val="2"/>
        <scheme val="minor"/>
      </rPr>
      <t>n</t>
    </r>
  </si>
  <si>
    <t>(ACI 318 Eq. 22.5.1.1)</t>
  </si>
  <si>
    <t>Factored one-way shear strength</t>
  </si>
  <si>
    <r>
      <t>ɸV</t>
    </r>
    <r>
      <rPr>
        <vertAlign val="subscript"/>
        <sz val="11"/>
        <color theme="1"/>
        <rFont val="Calibri"/>
        <family val="2"/>
      </rPr>
      <t>n</t>
    </r>
  </si>
  <si>
    <t>One-Way Shear</t>
  </si>
  <si>
    <t>Loading (ASD)</t>
  </si>
  <si>
    <t>Loading (LFRD)</t>
  </si>
  <si>
    <t>1.4D</t>
  </si>
  <si>
    <t>1.2D +1.6L + 0.5S</t>
  </si>
  <si>
    <t>1.2D + 1.6L + 0.5W</t>
  </si>
  <si>
    <t>1.2D + 1.0W + L +0.5S</t>
  </si>
  <si>
    <t>1.2D + 1.0E + L +0.2S</t>
  </si>
  <si>
    <t>1.2D + 1.6S +1.0L</t>
  </si>
  <si>
    <t>c</t>
  </si>
  <si>
    <t>Two Way Shear</t>
  </si>
  <si>
    <t>Critical Parameter</t>
  </si>
  <si>
    <r>
      <t>b</t>
    </r>
    <r>
      <rPr>
        <vertAlign val="subscript"/>
        <sz val="11"/>
        <color theme="1"/>
        <rFont val="Calibri"/>
        <family val="2"/>
      </rPr>
      <t>o</t>
    </r>
  </si>
  <si>
    <r>
      <t>F</t>
    </r>
    <r>
      <rPr>
        <vertAlign val="subscript"/>
        <sz val="11"/>
        <color theme="1"/>
        <rFont val="Calibri"/>
        <family val="2"/>
        <scheme val="minor"/>
      </rPr>
      <t>yt</t>
    </r>
  </si>
  <si>
    <t>Length of Critical Section</t>
  </si>
  <si>
    <t>Width of Critical Section</t>
  </si>
  <si>
    <r>
      <t>L</t>
    </r>
    <r>
      <rPr>
        <vertAlign val="subscript"/>
        <sz val="11"/>
        <color theme="1"/>
        <rFont val="Calibri"/>
        <family val="2"/>
      </rPr>
      <t>1</t>
    </r>
  </si>
  <si>
    <r>
      <t>L</t>
    </r>
    <r>
      <rPr>
        <vertAlign val="subscript"/>
        <sz val="11"/>
        <color theme="1"/>
        <rFont val="Calibri"/>
        <family val="2"/>
      </rPr>
      <t>2</t>
    </r>
  </si>
  <si>
    <r>
      <t>L</t>
    </r>
    <r>
      <rPr>
        <vertAlign val="subscript"/>
        <sz val="11"/>
        <color theme="1"/>
        <rFont val="Calibri"/>
        <family val="2"/>
        <scheme val="minor"/>
      </rPr>
      <t>b1</t>
    </r>
  </si>
  <si>
    <r>
      <t>L</t>
    </r>
    <r>
      <rPr>
        <vertAlign val="subscript"/>
        <sz val="11"/>
        <color theme="1"/>
        <rFont val="Calibri"/>
        <family val="2"/>
        <scheme val="minor"/>
      </rPr>
      <t>b2</t>
    </r>
  </si>
  <si>
    <t>(ACI 318 22.6.4.1)</t>
  </si>
  <si>
    <t>Column Length : Width Ratio</t>
  </si>
  <si>
    <t>β</t>
  </si>
  <si>
    <r>
      <t>α</t>
    </r>
    <r>
      <rPr>
        <vertAlign val="subscript"/>
        <sz val="11"/>
        <color theme="1"/>
        <rFont val="Calibri"/>
        <family val="2"/>
      </rPr>
      <t>s</t>
    </r>
  </si>
  <si>
    <t>(ACI 318 22.6.5.3)</t>
  </si>
  <si>
    <t>Calculation Factor (assume interior column)</t>
  </si>
  <si>
    <t>Nominal shear stress</t>
  </si>
  <si>
    <r>
      <t>v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v</t>
    </r>
    <r>
      <rPr>
        <vertAlign val="subscript"/>
        <sz val="11"/>
        <color theme="1"/>
        <rFont val="Calibri"/>
        <family val="2"/>
        <scheme val="minor"/>
      </rPr>
      <t>c</t>
    </r>
  </si>
  <si>
    <t>(ACI 318 Eq. 22.6.1.2, Table 22.6.5.2)</t>
  </si>
  <si>
    <t>Nominal two-way concrete shear strength</t>
  </si>
  <si>
    <t>Factored two-way concrete shear strength</t>
  </si>
  <si>
    <r>
      <t>ɸV</t>
    </r>
    <r>
      <rPr>
        <vertAlign val="subscript"/>
        <sz val="11"/>
        <color theme="1"/>
        <rFont val="Calibri"/>
        <family val="2"/>
      </rPr>
      <t>c</t>
    </r>
  </si>
  <si>
    <t>Two-Way Shear</t>
  </si>
  <si>
    <t>Moment due to eccentricity</t>
  </si>
  <si>
    <r>
      <t>M</t>
    </r>
    <r>
      <rPr>
        <vertAlign val="subscript"/>
        <sz val="11"/>
        <color theme="1"/>
        <rFont val="Calibri"/>
        <family val="2"/>
        <scheme val="minor"/>
      </rPr>
      <t>e</t>
    </r>
  </si>
  <si>
    <t>in-lbs</t>
  </si>
  <si>
    <t>Largest Total Load</t>
  </si>
  <si>
    <t>Assuming trapezoidal bearing pressure:</t>
  </si>
  <si>
    <t>psi * in</t>
  </si>
  <si>
    <r>
      <t>Q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* width</t>
    </r>
  </si>
  <si>
    <r>
      <t>Q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* width</t>
    </r>
  </si>
  <si>
    <t>Assuming triangular bearing pressure:</t>
  </si>
  <si>
    <t>R</t>
  </si>
  <si>
    <t xml:space="preserve">   Maximum bearing pressure (times width)</t>
  </si>
  <si>
    <t xml:space="preserve">   Minimum bearing pressure (times width)</t>
  </si>
  <si>
    <t>Use bearing pressure</t>
  </si>
  <si>
    <t>Rate of pressure change</t>
  </si>
  <si>
    <t>psi * in / in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</si>
  <si>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</si>
  <si>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</si>
  <si>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r>
      <t>Shear at x</t>
    </r>
    <r>
      <rPr>
        <vertAlign val="subscript"/>
        <sz val="11"/>
        <color theme="1"/>
        <rFont val="Calibri"/>
        <family val="2"/>
        <scheme val="minor"/>
      </rPr>
      <t>1</t>
    </r>
  </si>
  <si>
    <r>
      <t>Shear at x</t>
    </r>
    <r>
      <rPr>
        <vertAlign val="subscript"/>
        <sz val="11"/>
        <color theme="1"/>
        <rFont val="Calibri"/>
        <family val="2"/>
        <scheme val="minor"/>
      </rPr>
      <t>2</t>
    </r>
  </si>
  <si>
    <r>
      <t>V(x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</si>
  <si>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r>
      <t>V(x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</si>
  <si>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Shear Calculation</t>
  </si>
  <si>
    <t>Moment Calculation</t>
  </si>
  <si>
    <t>Flexure (longitudinal)</t>
  </si>
  <si>
    <t>ft-lbs</t>
  </si>
  <si>
    <t>Strength reduction factor for moment</t>
  </si>
  <si>
    <t>(ACI 318R-14 Table 21.2.2)</t>
  </si>
  <si>
    <t>Equivalent rectangular stress distribution factor</t>
  </si>
  <si>
    <r>
      <rPr>
        <sz val="11"/>
        <color theme="1"/>
        <rFont val="Calibri"/>
        <family val="2"/>
      </rPr>
      <t>β</t>
    </r>
    <r>
      <rPr>
        <vertAlign val="subscript"/>
        <sz val="11"/>
        <color theme="1"/>
        <rFont val="Calibri"/>
        <family val="2"/>
      </rPr>
      <t>1</t>
    </r>
  </si>
  <si>
    <t>(ACI 318R-14 Table 21.2.2.4.3)</t>
  </si>
  <si>
    <t>Assumed uniform concrete stress at compression zone</t>
  </si>
  <si>
    <r>
      <t>0.85f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'</t>
    </r>
  </si>
  <si>
    <t>(ACI 318R-14 22.2.4.1)</t>
  </si>
  <si>
    <t>Cross sectional area of steel acting in tension</t>
  </si>
  <si>
    <r>
      <t>A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</t>
    </r>
  </si>
  <si>
    <t>Steel tension at yield</t>
  </si>
  <si>
    <r>
      <t>A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'F</t>
    </r>
    <r>
      <rPr>
        <vertAlign val="subscript"/>
        <sz val="11"/>
        <color theme="1"/>
        <rFont val="Calibri"/>
        <family val="2"/>
        <scheme val="minor"/>
      </rPr>
      <t>y</t>
    </r>
  </si>
  <si>
    <t>Equivalent height of rectangular stress block</t>
  </si>
  <si>
    <t>Distance from compression edge to neutral axis</t>
  </si>
  <si>
    <t>Concrete strain at yield</t>
  </si>
  <si>
    <r>
      <t>ε</t>
    </r>
    <r>
      <rPr>
        <vertAlign val="subscript"/>
        <sz val="11"/>
        <color theme="1"/>
        <rFont val="Calibri"/>
        <family val="2"/>
      </rPr>
      <t>c</t>
    </r>
  </si>
  <si>
    <t>(ACI 318R-14 22.2.2.1)</t>
  </si>
  <si>
    <t>Steel strain at yield</t>
  </si>
  <si>
    <r>
      <t>ε</t>
    </r>
    <r>
      <rPr>
        <vertAlign val="subscript"/>
        <sz val="11"/>
        <color theme="1"/>
        <rFont val="Calibri"/>
        <family val="2"/>
      </rPr>
      <t>s</t>
    </r>
  </si>
  <si>
    <t>Depth to tension reinforcement</t>
  </si>
  <si>
    <t>Nominal flexural strength</t>
  </si>
  <si>
    <r>
      <t>M</t>
    </r>
    <r>
      <rPr>
        <vertAlign val="subscript"/>
        <sz val="11"/>
        <color theme="1"/>
        <rFont val="Calibri"/>
        <family val="2"/>
      </rPr>
      <t>n</t>
    </r>
  </si>
  <si>
    <t>Allowed moment</t>
  </si>
  <si>
    <r>
      <t>ɸM</t>
    </r>
    <r>
      <rPr>
        <vertAlign val="subscript"/>
        <sz val="11"/>
        <color theme="1"/>
        <rFont val="Calibri"/>
        <family val="2"/>
      </rPr>
      <t>n</t>
    </r>
  </si>
  <si>
    <t>Flexure (transverse)</t>
  </si>
  <si>
    <t>Flexure - Longitudinal (Reinforced)</t>
  </si>
  <si>
    <t>Critical longitudinal section location (left side of post)</t>
  </si>
  <si>
    <t>Critical longitudinal section location (right side of post)</t>
  </si>
  <si>
    <r>
      <t>x</t>
    </r>
    <r>
      <rPr>
        <vertAlign val="subscript"/>
        <sz val="11"/>
        <color theme="1"/>
        <rFont val="Calibri"/>
        <family val="2"/>
        <scheme val="minor"/>
      </rPr>
      <t>cl1</t>
    </r>
  </si>
  <si>
    <r>
      <t>x</t>
    </r>
    <r>
      <rPr>
        <vertAlign val="subscript"/>
        <sz val="11"/>
        <color theme="1"/>
        <rFont val="Calibri"/>
        <family val="2"/>
        <scheme val="minor"/>
      </rPr>
      <t>cl2</t>
    </r>
  </si>
  <si>
    <t>Critical transverse section location</t>
  </si>
  <si>
    <r>
      <t>x</t>
    </r>
    <r>
      <rPr>
        <vertAlign val="subscript"/>
        <sz val="11"/>
        <color theme="1"/>
        <rFont val="Calibri"/>
        <family val="2"/>
        <scheme val="minor"/>
      </rPr>
      <t>t</t>
    </r>
  </si>
  <si>
    <t>Length of Post (in longitudinal direction)</t>
  </si>
  <si>
    <t>Width of Post (in transverse direction)</t>
  </si>
  <si>
    <t>Total Applied Load</t>
  </si>
  <si>
    <t>Adjusted Eccentricity (accounting for self weight)</t>
  </si>
  <si>
    <t>e</t>
  </si>
  <si>
    <r>
      <t>P</t>
    </r>
    <r>
      <rPr>
        <vertAlign val="subscript"/>
        <sz val="11"/>
        <color theme="1"/>
        <rFont val="Calibri"/>
        <family val="2"/>
        <scheme val="minor"/>
      </rPr>
      <t>a</t>
    </r>
  </si>
  <si>
    <t>Critical position for one-way shear (left side of post)</t>
  </si>
  <si>
    <t>Critical position for one-way shear (right side of post)</t>
  </si>
  <si>
    <t>(from right end of footing)</t>
  </si>
  <si>
    <t>Self Weight distributed load</t>
  </si>
  <si>
    <t>w * width</t>
  </si>
  <si>
    <t xml:space="preserve">   Zero pressure point (relative to right end of footing)</t>
  </si>
  <si>
    <t xml:space="preserve">   Resultant (relative to left end of footing)</t>
  </si>
  <si>
    <r>
      <t>x</t>
    </r>
    <r>
      <rPr>
        <vertAlign val="subscript"/>
        <sz val="11"/>
        <color theme="1"/>
        <rFont val="Calibri"/>
        <family val="2"/>
        <scheme val="minor"/>
      </rPr>
      <t>o</t>
    </r>
  </si>
  <si>
    <t xml:space="preserve">   Use trapezoidal distribution?</t>
  </si>
  <si>
    <t>Shear at critical plane</t>
  </si>
  <si>
    <r>
      <t>V</t>
    </r>
    <r>
      <rPr>
        <vertAlign val="subscript"/>
        <sz val="11"/>
        <color theme="1"/>
        <rFont val="Calibri"/>
        <family val="2"/>
        <scheme val="minor"/>
      </rPr>
      <t>u</t>
    </r>
  </si>
  <si>
    <r>
      <t>Moment at x</t>
    </r>
    <r>
      <rPr>
        <vertAlign val="subscript"/>
        <sz val="11"/>
        <color theme="1"/>
        <rFont val="Calibri"/>
        <family val="2"/>
        <scheme val="minor"/>
      </rPr>
      <t>cl1</t>
    </r>
  </si>
  <si>
    <r>
      <t>M(x</t>
    </r>
    <r>
      <rPr>
        <vertAlign val="subscript"/>
        <sz val="11"/>
        <color theme="1"/>
        <rFont val="Calibri"/>
        <family val="2"/>
        <scheme val="minor"/>
      </rPr>
      <t>cl1</t>
    </r>
    <r>
      <rPr>
        <sz val="11"/>
        <color theme="1"/>
        <rFont val="Calibri"/>
        <family val="2"/>
        <scheme val="minor"/>
      </rPr>
      <t>)</t>
    </r>
  </si>
  <si>
    <r>
      <t>Moment at x</t>
    </r>
    <r>
      <rPr>
        <vertAlign val="subscript"/>
        <sz val="11"/>
        <color theme="1"/>
        <rFont val="Calibri"/>
        <family val="2"/>
        <scheme val="minor"/>
      </rPr>
      <t>cl2</t>
    </r>
  </si>
  <si>
    <r>
      <t>M(x</t>
    </r>
    <r>
      <rPr>
        <vertAlign val="subscript"/>
        <sz val="11"/>
        <color theme="1"/>
        <rFont val="Calibri"/>
        <family val="2"/>
        <scheme val="minor"/>
      </rPr>
      <t>cl2</t>
    </r>
    <r>
      <rPr>
        <sz val="11"/>
        <color theme="1"/>
        <rFont val="Calibri"/>
        <family val="2"/>
        <scheme val="minor"/>
      </rPr>
      <t>)</t>
    </r>
  </si>
  <si>
    <t>Flexure - Longitudinal (Plain Concrete)</t>
  </si>
  <si>
    <t>Elastic section Modulus</t>
  </si>
  <si>
    <r>
      <t>S</t>
    </r>
    <r>
      <rPr>
        <vertAlign val="subscript"/>
        <sz val="11"/>
        <color theme="1"/>
        <rFont val="Calibri"/>
        <family val="2"/>
        <scheme val="minor"/>
      </rPr>
      <t>m</t>
    </r>
  </si>
  <si>
    <r>
      <t>in</t>
    </r>
    <r>
      <rPr>
        <vertAlign val="superscript"/>
        <sz val="11"/>
        <color theme="1"/>
        <rFont val="Calibri"/>
        <family val="2"/>
        <scheme val="minor"/>
      </rPr>
      <t>3</t>
    </r>
  </si>
  <si>
    <t>(ACI 318R-14 14.5.2.1)</t>
  </si>
  <si>
    <t>Flexure - Transverse (Reinforced)</t>
  </si>
  <si>
    <t>Flexure - Transverse (Plain Concrete)</t>
  </si>
  <si>
    <t>Maximum longitudinal moment</t>
  </si>
  <si>
    <r>
      <t>M</t>
    </r>
    <r>
      <rPr>
        <vertAlign val="subscript"/>
        <sz val="11"/>
        <color theme="1"/>
        <rFont val="Calibri"/>
        <family val="2"/>
        <scheme val="minor"/>
      </rPr>
      <t>max,l</t>
    </r>
  </si>
  <si>
    <t>Maximum transverse moment</t>
  </si>
  <si>
    <r>
      <t>M</t>
    </r>
    <r>
      <rPr>
        <vertAlign val="subscript"/>
        <sz val="11"/>
        <color theme="1"/>
        <rFont val="Calibri"/>
        <family val="2"/>
        <scheme val="minor"/>
      </rPr>
      <t>max,t</t>
    </r>
  </si>
  <si>
    <t>T&amp;S Reinforcement (longitudinal)</t>
  </si>
  <si>
    <t>T&amp;S Reinforcement (transverse)</t>
  </si>
  <si>
    <t>&gt;=</t>
  </si>
  <si>
    <t>Bottom of footing to center of longitudinal rebar</t>
  </si>
  <si>
    <t>Bottom of footing to center of transverse rebar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</si>
  <si>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</si>
  <si>
    <r>
      <t>d</t>
    </r>
    <r>
      <rPr>
        <vertAlign val="subscript"/>
        <sz val="11"/>
        <color theme="1"/>
        <rFont val="Calibri"/>
        <family val="2"/>
        <scheme val="minor"/>
      </rPr>
      <t>t</t>
    </r>
  </si>
  <si>
    <t>Soil Bearing Pressure (for strength calculations)</t>
  </si>
  <si>
    <t>Input Parameters</t>
  </si>
  <si>
    <t>Footing Length</t>
  </si>
  <si>
    <t>Footing Width</t>
  </si>
  <si>
    <t>Footing Depth</t>
  </si>
  <si>
    <r>
      <t>Q</t>
    </r>
    <r>
      <rPr>
        <vertAlign val="subscript"/>
        <sz val="11"/>
        <color theme="1"/>
        <rFont val="Calibri"/>
        <family val="2"/>
        <scheme val="minor"/>
      </rPr>
      <t>all</t>
    </r>
  </si>
  <si>
    <r>
      <t>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'</t>
    </r>
  </si>
  <si>
    <t>Column Length (in direction of footing length)</t>
  </si>
  <si>
    <t>Column Width (in direction of footing width)</t>
  </si>
  <si>
    <t>Rebar Size</t>
  </si>
  <si>
    <t>#</t>
  </si>
  <si>
    <t>Transverse Rebar</t>
  </si>
  <si>
    <t>Longitudinal Rebar</t>
  </si>
  <si>
    <t>Off-Screen Calcs</t>
  </si>
  <si>
    <t>Include Footing Self Weight for Soil Bearing Pressure Check?</t>
  </si>
  <si>
    <t>Seismic Parameters</t>
  </si>
  <si>
    <t>Load Eccentricity (in longitudinal direction)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</si>
</sst>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_(* #,##0_);_(* \(#,##0\);_(* &quot;-&quot;??_);_(@_)"/>
    <numFmt numFmtId="169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1" fontId="0" fillId="0" borderId="0" xfId="0" applyNumberForma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43" fontId="0" fillId="0" borderId="0" xfId="1" applyFont="1"/>
    <xf numFmtId="167" fontId="0" fillId="0" borderId="0" xfId="1" applyNumberFormat="1" applyFont="1"/>
    <xf numFmtId="167" fontId="8" fillId="0" borderId="0" xfId="1" applyNumberFormat="1" applyFont="1"/>
    <xf numFmtId="167" fontId="0" fillId="0" borderId="0" xfId="0" applyNumberFormat="1"/>
    <xf numFmtId="43" fontId="0" fillId="0" borderId="0" xfId="0" applyNumberFormat="1"/>
    <xf numFmtId="0" fontId="11" fillId="0" borderId="0" xfId="0" applyFont="1"/>
    <xf numFmtId="167" fontId="13" fillId="0" borderId="0" xfId="1" applyNumberFormat="1" applyFont="1"/>
    <xf numFmtId="43" fontId="13" fillId="0" borderId="0" xfId="1" applyNumberFormat="1" applyFont="1"/>
    <xf numFmtId="169" fontId="0" fillId="0" borderId="0" xfId="1" applyNumberFormat="1" applyFont="1"/>
    <xf numFmtId="1" fontId="0" fillId="0" borderId="0" xfId="0" applyNumberFormat="1" applyBorder="1"/>
    <xf numFmtId="167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14" fillId="0" borderId="0" xfId="0" applyFont="1"/>
    <xf numFmtId="43" fontId="8" fillId="0" borderId="0" xfId="1" applyNumberFormat="1" applyFont="1"/>
    <xf numFmtId="0" fontId="8" fillId="0" borderId="0" xfId="0" applyFont="1" applyFill="1"/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43" fontId="8" fillId="0" borderId="0" xfId="1" applyFont="1"/>
    <xf numFmtId="0" fontId="1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E4B6-2B7F-4ADE-9A4B-1B647752F7C4}">
  <sheetPr codeName="Sheet1">
    <pageSetUpPr fitToPage="1"/>
  </sheetPr>
  <dimension ref="A1:V158"/>
  <sheetViews>
    <sheetView tabSelected="1" zoomScaleNormal="100" workbookViewId="0">
      <selection activeCell="C8" sqref="C8"/>
    </sheetView>
  </sheetViews>
  <sheetFormatPr defaultRowHeight="15" x14ac:dyDescent="0.25"/>
  <cols>
    <col min="1" max="1" width="50.85546875" customWidth="1"/>
    <col min="2" max="2" width="27.5703125" customWidth="1"/>
    <col min="3" max="3" width="10.5703125" customWidth="1"/>
    <col min="4" max="4" width="10.5703125" bestFit="1" customWidth="1"/>
    <col min="5" max="5" width="3.7109375" customWidth="1"/>
    <col min="6" max="6" width="23.140625" customWidth="1"/>
    <col min="7" max="7" width="6.28515625" bestFit="1" customWidth="1"/>
    <col min="8" max="8" width="7" bestFit="1" customWidth="1"/>
    <col min="9" max="9" width="3.5703125" bestFit="1" customWidth="1"/>
    <col min="10" max="10" width="8.140625" customWidth="1"/>
    <col min="11" max="11" width="43.42578125" customWidth="1"/>
    <col min="12" max="12" width="12" bestFit="1" customWidth="1"/>
    <col min="13" max="14" width="15.28515625" bestFit="1" customWidth="1"/>
    <col min="15" max="15" width="30.7109375" bestFit="1" customWidth="1"/>
    <col min="16" max="16" width="19.140625" bestFit="1" customWidth="1"/>
    <col min="17" max="17" width="35.85546875" bestFit="1" customWidth="1"/>
    <col min="18" max="18" width="8" bestFit="1" customWidth="1"/>
    <col min="19" max="19" width="22.85546875" bestFit="1" customWidth="1"/>
    <col min="20" max="20" width="6" bestFit="1" customWidth="1"/>
  </cols>
  <sheetData>
    <row r="1" spans="1:16" ht="26.25" x14ac:dyDescent="0.4">
      <c r="A1" s="6" t="s">
        <v>23</v>
      </c>
      <c r="B1" s="6" t="s">
        <v>24</v>
      </c>
      <c r="E1" s="5"/>
      <c r="F1" s="5"/>
      <c r="G1" s="5"/>
      <c r="H1" s="5"/>
      <c r="I1" s="5"/>
      <c r="K1" s="21" t="s">
        <v>214</v>
      </c>
    </row>
    <row r="2" spans="1:16" ht="15.75" x14ac:dyDescent="0.25">
      <c r="A2" s="28"/>
      <c r="B2" s="28"/>
      <c r="C2" s="29"/>
      <c r="D2" s="29"/>
      <c r="E2" s="30"/>
      <c r="F2" s="30"/>
      <c r="G2" s="30"/>
      <c r="H2" s="30"/>
      <c r="I2" s="30"/>
      <c r="J2" s="29"/>
      <c r="K2" t="s">
        <v>215</v>
      </c>
      <c r="L2" t="s">
        <v>1</v>
      </c>
      <c r="M2" s="22">
        <v>60</v>
      </c>
      <c r="N2" t="s">
        <v>7</v>
      </c>
    </row>
    <row r="3" spans="1:16" ht="18.75" x14ac:dyDescent="0.3">
      <c r="A3" s="7" t="s">
        <v>25</v>
      </c>
      <c r="B3" s="7" t="str">
        <f>TEXT(M2,"# #/#")&amp;CHAR(34)&amp;" long x "&amp;TEXT(M3,"# #/#")&amp;CHAR(34)&amp;" wide x "&amp;TEXT(M4,"# #/#")&amp;CHAR(34)&amp;" deep"</f>
        <v>60" long x 16" wide x 10" deep</v>
      </c>
      <c r="C3" s="7"/>
      <c r="D3" s="7"/>
      <c r="E3" s="7"/>
      <c r="K3" t="s">
        <v>216</v>
      </c>
      <c r="L3" t="s">
        <v>8</v>
      </c>
      <c r="M3" s="22">
        <v>16</v>
      </c>
      <c r="N3" t="s">
        <v>7</v>
      </c>
    </row>
    <row r="4" spans="1:16" ht="18.75" x14ac:dyDescent="0.3">
      <c r="A4" s="7" t="s">
        <v>26</v>
      </c>
      <c r="B4" s="7" t="str">
        <f>IF(M17&gt;0,"("&amp;M17&amp;") #"&amp;M16&amp;" at bottom","Plain Concrete")</f>
        <v>(3) #4 at bottom</v>
      </c>
      <c r="C4" s="7"/>
      <c r="D4" s="7"/>
      <c r="E4" s="7"/>
      <c r="K4" t="s">
        <v>217</v>
      </c>
      <c r="L4" t="s">
        <v>10</v>
      </c>
      <c r="M4" s="22">
        <v>10</v>
      </c>
      <c r="N4" t="s">
        <v>7</v>
      </c>
      <c r="O4" s="1"/>
      <c r="P4" s="1"/>
    </row>
    <row r="5" spans="1:16" ht="18.75" x14ac:dyDescent="0.3">
      <c r="A5" s="7" t="s">
        <v>27</v>
      </c>
      <c r="B5" s="7" t="str">
        <f>IF(M18&gt;0,"("&amp;M17&amp;") #"&amp;M16&amp;" at bottom","Plain Concrete")</f>
        <v>Plain Concrete</v>
      </c>
      <c r="C5" s="7"/>
      <c r="D5" s="7"/>
      <c r="E5" s="7"/>
      <c r="K5" s="1"/>
      <c r="L5" s="1"/>
      <c r="M5" s="1"/>
      <c r="N5" s="1"/>
      <c r="O5" s="1"/>
      <c r="P5" s="1"/>
    </row>
    <row r="6" spans="1:16" x14ac:dyDescent="0.25">
      <c r="K6" t="s">
        <v>229</v>
      </c>
      <c r="L6" t="s">
        <v>178</v>
      </c>
      <c r="M6" s="27">
        <v>0</v>
      </c>
      <c r="N6" t="s">
        <v>7</v>
      </c>
      <c r="O6" s="1"/>
      <c r="P6" s="1"/>
    </row>
    <row r="7" spans="1:16" x14ac:dyDescent="0.25">
      <c r="O7" s="1"/>
      <c r="P7" s="1"/>
    </row>
    <row r="8" spans="1:16" ht="18" x14ac:dyDescent="0.35">
      <c r="A8" s="8" t="s">
        <v>15</v>
      </c>
      <c r="B8" t="s">
        <v>28</v>
      </c>
      <c r="C8" t="s">
        <v>29</v>
      </c>
      <c r="F8" t="s">
        <v>30</v>
      </c>
      <c r="G8" t="s">
        <v>31</v>
      </c>
      <c r="K8" t="s">
        <v>4</v>
      </c>
      <c r="L8" t="s">
        <v>218</v>
      </c>
      <c r="M8" s="11">
        <v>1500</v>
      </c>
      <c r="N8" t="s">
        <v>5</v>
      </c>
      <c r="O8" s="1"/>
      <c r="P8" s="1"/>
    </row>
    <row r="9" spans="1:16" ht="18" x14ac:dyDescent="0.35">
      <c r="A9" t="s">
        <v>32</v>
      </c>
      <c r="B9" t="str" cm="1">
        <f t="array" ref="B9">INDEX(L37:S37,1,T37)&amp;" (ASD)"</f>
        <v>D + 0.525E + 0.75L + 0.75S (ASD)</v>
      </c>
      <c r="C9" s="19" cm="1">
        <f t="array" ref="C9">INDEX(L38:S38,1,T37)/C23*12^2</f>
        <v>1853.625</v>
      </c>
      <c r="D9" t="s">
        <v>5</v>
      </c>
      <c r="E9" t="s">
        <v>33</v>
      </c>
      <c r="F9" s="10" cm="1">
        <f t="array" ref="F9">M8/INDEX(L39:S39,1,T37)</f>
        <v>2000</v>
      </c>
      <c r="G9" s="13">
        <f>C9/F9</f>
        <v>0.92681250000000004</v>
      </c>
      <c r="H9" t="str">
        <f>IF(C9&lt;F9,"OK","FAIL")</f>
        <v>OK</v>
      </c>
      <c r="K9" t="s">
        <v>11</v>
      </c>
      <c r="L9" t="s">
        <v>219</v>
      </c>
      <c r="M9" s="11">
        <v>2500</v>
      </c>
      <c r="N9" t="s">
        <v>12</v>
      </c>
      <c r="O9" s="1"/>
      <c r="P9" s="1"/>
    </row>
    <row r="10" spans="1:16" x14ac:dyDescent="0.25">
      <c r="A10" t="s">
        <v>84</v>
      </c>
      <c r="B10" t="str" cm="1">
        <f t="array" ref="B10">INDEX(L42:Q42,1,T42)</f>
        <v>1.2D + 1.0E + L +0.2S</v>
      </c>
      <c r="C10" s="19">
        <f>C59</f>
        <v>3126.1904761904757</v>
      </c>
      <c r="D10" t="s">
        <v>3</v>
      </c>
      <c r="E10" t="s">
        <v>33</v>
      </c>
      <c r="F10" s="12">
        <f>C76</f>
        <v>9600</v>
      </c>
      <c r="G10" s="13">
        <f>C10/F10</f>
        <v>0.32564484126984122</v>
      </c>
      <c r="H10" t="str">
        <f>IF(C10&lt;F10,"OK","FAIL")</f>
        <v>OK</v>
      </c>
      <c r="K10" t="s">
        <v>60</v>
      </c>
      <c r="M10" s="11">
        <v>150</v>
      </c>
      <c r="N10" t="s">
        <v>61</v>
      </c>
      <c r="O10" s="1"/>
      <c r="P10" s="1"/>
    </row>
    <row r="11" spans="1:16" x14ac:dyDescent="0.25">
      <c r="A11" t="s">
        <v>116</v>
      </c>
      <c r="B11" t="str">
        <f>B10</f>
        <v>1.2D + 1.0E + L +0.2S</v>
      </c>
      <c r="C11" s="20">
        <f>L44</f>
        <v>18757.142857142855</v>
      </c>
      <c r="D11" t="s">
        <v>3</v>
      </c>
      <c r="E11" t="s">
        <v>33</v>
      </c>
      <c r="F11" s="12">
        <f>C87</f>
        <v>96000</v>
      </c>
      <c r="G11" s="13">
        <f>C11/F11</f>
        <v>0.19538690476190473</v>
      </c>
      <c r="H11" t="str">
        <f>IF(C11&lt;F11,"OK","FAIL")</f>
        <v>OK</v>
      </c>
      <c r="K11" t="s">
        <v>227</v>
      </c>
      <c r="M11" s="23" t="b">
        <v>0</v>
      </c>
      <c r="N11" s="1"/>
    </row>
    <row r="12" spans="1:16" x14ac:dyDescent="0.25">
      <c r="A12" t="s">
        <v>140</v>
      </c>
      <c r="B12" t="str">
        <f>B11</f>
        <v>1.2D + 1.0E + L +0.2S</v>
      </c>
      <c r="C12" s="19">
        <f>C67/12</f>
        <v>4220.3571428571422</v>
      </c>
      <c r="D12" t="s">
        <v>141</v>
      </c>
      <c r="E12" t="s">
        <v>33</v>
      </c>
      <c r="F12" s="12">
        <f>C101/12</f>
        <v>15189.284633783083</v>
      </c>
      <c r="G12" s="13">
        <f>C12/F12</f>
        <v>0.2778509485213333</v>
      </c>
      <c r="H12" t="str">
        <f>IF(C12&lt;F12,"OK","FAIL")</f>
        <v>OK</v>
      </c>
    </row>
    <row r="13" spans="1:16" ht="18" x14ac:dyDescent="0.35">
      <c r="A13" t="s">
        <v>166</v>
      </c>
      <c r="B13" t="str">
        <f>B12</f>
        <v>1.2D + 1.0E + L +0.2S</v>
      </c>
      <c r="C13" s="19">
        <f>C68/12</f>
        <v>781.54761904761892</v>
      </c>
      <c r="D13" t="s">
        <v>141</v>
      </c>
      <c r="E13" t="s">
        <v>33</v>
      </c>
      <c r="F13" s="12">
        <f>C115/12</f>
        <v>8000</v>
      </c>
      <c r="G13" s="13">
        <f>C13/F13</f>
        <v>9.7693452380952367E-2</v>
      </c>
      <c r="H13" t="str">
        <f>IF(C13&lt;F13,"OK","FAIL")</f>
        <v>OK</v>
      </c>
      <c r="K13" t="s">
        <v>220</v>
      </c>
      <c r="L13" t="s">
        <v>102</v>
      </c>
      <c r="M13" s="22">
        <v>24</v>
      </c>
      <c r="N13" t="s">
        <v>7</v>
      </c>
    </row>
    <row r="14" spans="1:16" ht="18" x14ac:dyDescent="0.35">
      <c r="A14" t="s">
        <v>206</v>
      </c>
      <c r="C14" s="19">
        <f>IF(M17&gt;0,M17,"Plain Concrete - engineering judgment")</f>
        <v>3</v>
      </c>
      <c r="D14" t="str">
        <f>"#"&amp;$M$16&amp;" bars"</f>
        <v>#4 bars</v>
      </c>
      <c r="E14" t="s">
        <v>208</v>
      </c>
      <c r="F14" s="12">
        <f>ROUNDUP(M3*M4*0.0018/(PI()*(M16/8/2)^2),0)</f>
        <v>2</v>
      </c>
      <c r="G14" s="13">
        <f>IF(M17&gt;0,C14/F14,"")</f>
        <v>1.5</v>
      </c>
      <c r="H14" t="str">
        <f>IF(M17&gt;0,IF(C14&gt;=F14,"OK","FAIL"),"")</f>
        <v>OK</v>
      </c>
      <c r="K14" t="s">
        <v>221</v>
      </c>
      <c r="L14" t="s">
        <v>103</v>
      </c>
      <c r="M14" s="22">
        <v>8</v>
      </c>
      <c r="N14" t="s">
        <v>7</v>
      </c>
    </row>
    <row r="15" spans="1:16" x14ac:dyDescent="0.25">
      <c r="A15" t="s">
        <v>207</v>
      </c>
      <c r="C15" s="20" t="str">
        <f>IF(M18&gt;0,M18,"Plain Concrete (engineering judgment)")</f>
        <v>Plain Concrete (engineering judgment)</v>
      </c>
      <c r="D15" t="str">
        <f>"#"&amp;$M$16&amp;" bars"</f>
        <v>#4 bars</v>
      </c>
      <c r="E15" t="s">
        <v>208</v>
      </c>
      <c r="F15" s="10">
        <f>ROUNDUP(M2*M4*0.0018/(PI()*(M16/8/2)^2),0)</f>
        <v>6</v>
      </c>
      <c r="G15" s="13" t="str">
        <f>IF(M18&gt;0,C15/F15,"")</f>
        <v/>
      </c>
      <c r="H15" t="str">
        <f>IF(M18&gt;0,IF(C15&gt;=F15,"OK","FAIL"),"")</f>
        <v/>
      </c>
    </row>
    <row r="16" spans="1:16" x14ac:dyDescent="0.25">
      <c r="K16" t="s">
        <v>222</v>
      </c>
      <c r="M16" s="11">
        <v>4</v>
      </c>
      <c r="N16" t="s">
        <v>223</v>
      </c>
    </row>
    <row r="17" spans="1:22" x14ac:dyDescent="0.25">
      <c r="A17" t="s">
        <v>22</v>
      </c>
      <c r="K17" t="s">
        <v>224</v>
      </c>
      <c r="M17" s="11">
        <v>3</v>
      </c>
      <c r="N17" t="s">
        <v>21</v>
      </c>
    </row>
    <row r="18" spans="1:22" x14ac:dyDescent="0.25">
      <c r="A18" t="s">
        <v>16</v>
      </c>
      <c r="K18" t="s">
        <v>225</v>
      </c>
      <c r="M18" s="11">
        <v>0</v>
      </c>
      <c r="N18" t="s">
        <v>21</v>
      </c>
    </row>
    <row r="19" spans="1:22" x14ac:dyDescent="0.25">
      <c r="A19" t="str">
        <f>"* Design Methodology:  LRFD (except for soil bearing pressure)"</f>
        <v>* Design Methodology:  LRFD (except for soil bearing pressure)</v>
      </c>
    </row>
    <row r="20" spans="1:22" x14ac:dyDescent="0.25">
      <c r="A20" t="str" cm="1">
        <f t="array" ref="A20">IF(INDEX(L39:S39,1,T37)&lt;1,"* Allowable Bearing Pressure includes a 1/3 increase for short-term loading","")</f>
        <v>* Allowable Bearing Pressure includes a 1/3 increase for short-term loading</v>
      </c>
    </row>
    <row r="22" spans="1:22" x14ac:dyDescent="0.25">
      <c r="A22" s="8" t="s">
        <v>53</v>
      </c>
      <c r="F22" s="8" t="s">
        <v>34</v>
      </c>
    </row>
    <row r="23" spans="1:22" ht="17.25" x14ac:dyDescent="0.25">
      <c r="A23" t="s">
        <v>54</v>
      </c>
      <c r="B23" t="s">
        <v>9</v>
      </c>
      <c r="C23" s="12">
        <f>M2*M3</f>
        <v>960</v>
      </c>
      <c r="D23" t="s">
        <v>55</v>
      </c>
      <c r="F23" t="s">
        <v>17</v>
      </c>
      <c r="G23" t="s">
        <v>0</v>
      </c>
      <c r="H23" s="11">
        <v>3500</v>
      </c>
      <c r="I23" t="s">
        <v>3</v>
      </c>
    </row>
    <row r="24" spans="1:22" ht="18" x14ac:dyDescent="0.35">
      <c r="A24" t="s">
        <v>175</v>
      </c>
      <c r="B24" t="s">
        <v>102</v>
      </c>
      <c r="C24" s="13">
        <f>M14</f>
        <v>8</v>
      </c>
      <c r="D24" t="s">
        <v>58</v>
      </c>
      <c r="F24" t="s">
        <v>18</v>
      </c>
      <c r="G24" t="s">
        <v>1</v>
      </c>
      <c r="H24" s="11">
        <v>5400</v>
      </c>
      <c r="I24" t="s">
        <v>3</v>
      </c>
    </row>
    <row r="25" spans="1:22" ht="18" x14ac:dyDescent="0.35">
      <c r="A25" t="s">
        <v>174</v>
      </c>
      <c r="B25" t="s">
        <v>103</v>
      </c>
      <c r="C25" s="13">
        <f>M13</f>
        <v>24</v>
      </c>
      <c r="D25" t="s">
        <v>58</v>
      </c>
      <c r="F25" t="s">
        <v>19</v>
      </c>
      <c r="G25" t="s">
        <v>20</v>
      </c>
      <c r="H25" s="11">
        <v>0</v>
      </c>
      <c r="I25" t="s">
        <v>3</v>
      </c>
    </row>
    <row r="26" spans="1:22" ht="18" x14ac:dyDescent="0.35">
      <c r="A26" t="s">
        <v>56</v>
      </c>
      <c r="B26" t="s">
        <v>57</v>
      </c>
      <c r="C26" s="13">
        <f>M6</f>
        <v>0</v>
      </c>
      <c r="D26" t="s">
        <v>58</v>
      </c>
      <c r="F26" t="s">
        <v>43</v>
      </c>
      <c r="G26" t="s">
        <v>46</v>
      </c>
      <c r="H26" s="11">
        <f>H23*0.2*H32</f>
        <v>910</v>
      </c>
      <c r="I26" t="s">
        <v>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x14ac:dyDescent="0.35">
      <c r="A27" t="s">
        <v>65</v>
      </c>
      <c r="B27" t="s">
        <v>13</v>
      </c>
      <c r="C27" s="13">
        <f>M4-2</f>
        <v>8</v>
      </c>
      <c r="D27" t="s">
        <v>58</v>
      </c>
      <c r="F27" t="s">
        <v>44</v>
      </c>
      <c r="G27" t="s">
        <v>47</v>
      </c>
      <c r="H27" s="11">
        <v>5500</v>
      </c>
      <c r="I27" t="s">
        <v>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x14ac:dyDescent="0.35">
      <c r="A28" t="s">
        <v>209</v>
      </c>
      <c r="B28" t="s">
        <v>211</v>
      </c>
      <c r="C28" s="13">
        <f>3+M16/8*3/2</f>
        <v>3.75</v>
      </c>
      <c r="D28" t="s">
        <v>58</v>
      </c>
      <c r="F28" t="s">
        <v>35</v>
      </c>
      <c r="G28" t="s">
        <v>6</v>
      </c>
      <c r="H28" s="11">
        <v>0</v>
      </c>
      <c r="I28" t="s">
        <v>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x14ac:dyDescent="0.35">
      <c r="A29" t="s">
        <v>210</v>
      </c>
      <c r="B29" t="s">
        <v>212</v>
      </c>
      <c r="C29" s="13">
        <f>3+M16/8/2</f>
        <v>3.25</v>
      </c>
      <c r="D29" t="s">
        <v>58</v>
      </c>
      <c r="F29" t="s">
        <v>59</v>
      </c>
      <c r="G29" t="s">
        <v>62</v>
      </c>
      <c r="H29" s="15">
        <f>M10*M2*M3*M4/12^3</f>
        <v>833.33333333333337</v>
      </c>
      <c r="I29" t="s">
        <v>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8" t="s">
        <v>72</v>
      </c>
      <c r="F31" s="8" t="s">
        <v>228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x14ac:dyDescent="0.35">
      <c r="A32" t="s">
        <v>11</v>
      </c>
      <c r="B32" t="s">
        <v>73</v>
      </c>
      <c r="C32" s="15">
        <v>2500</v>
      </c>
      <c r="D32" t="s">
        <v>12</v>
      </c>
      <c r="F32" t="s">
        <v>49</v>
      </c>
      <c r="G32" t="s">
        <v>48</v>
      </c>
      <c r="H32" s="22">
        <v>1.3</v>
      </c>
      <c r="I32" t="s">
        <v>50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x14ac:dyDescent="0.35">
      <c r="A33" t="s">
        <v>74</v>
      </c>
      <c r="B33" t="s">
        <v>97</v>
      </c>
      <c r="C33" s="15">
        <v>60000</v>
      </c>
      <c r="D33" t="s">
        <v>12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3" t="s">
        <v>213</v>
      </c>
      <c r="K36" s="3" t="s">
        <v>226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x14ac:dyDescent="0.35">
      <c r="A37" t="s">
        <v>176</v>
      </c>
      <c r="B37" t="s">
        <v>179</v>
      </c>
      <c r="C37" s="15">
        <f>L44</f>
        <v>18757.142857142855</v>
      </c>
      <c r="D37" t="s">
        <v>3</v>
      </c>
      <c r="K37" t="s">
        <v>85</v>
      </c>
      <c r="L37" t="s">
        <v>0</v>
      </c>
      <c r="M37" s="1" t="s">
        <v>37</v>
      </c>
      <c r="N37" s="1" t="s">
        <v>38</v>
      </c>
      <c r="O37" s="1" t="s">
        <v>39</v>
      </c>
      <c r="P37" s="1" t="s">
        <v>40</v>
      </c>
      <c r="Q37" s="1" t="s">
        <v>45</v>
      </c>
      <c r="R37" s="1" t="s">
        <v>41</v>
      </c>
      <c r="S37" s="1" t="s">
        <v>42</v>
      </c>
      <c r="T37">
        <f>MATCH(MAX(L40:S40),L40:S40,0)</f>
        <v>8</v>
      </c>
      <c r="U37" s="1"/>
      <c r="V37" s="1"/>
    </row>
    <row r="38" spans="1:22" x14ac:dyDescent="0.25">
      <c r="A38" t="s">
        <v>59</v>
      </c>
      <c r="B38" t="s">
        <v>6</v>
      </c>
      <c r="C38" s="15">
        <f>H29</f>
        <v>833.33333333333337</v>
      </c>
      <c r="D38" t="s">
        <v>3</v>
      </c>
      <c r="K38" t="s">
        <v>36</v>
      </c>
      <c r="L38" s="10">
        <f>H23+$H$29*$M$11</f>
        <v>3500</v>
      </c>
      <c r="M38" s="10">
        <f>H23+H24+$H$29*$M$11</f>
        <v>8900</v>
      </c>
      <c r="N38" s="10">
        <f>H23+H25+$H$29*$M$11</f>
        <v>3500</v>
      </c>
      <c r="O38" s="10">
        <f>H23+0.75*(H24+H25)+$H$29*$M$11</f>
        <v>7550</v>
      </c>
      <c r="P38" s="10">
        <f>H23+0.6*H28+$H$29*$M$11</f>
        <v>3500</v>
      </c>
      <c r="Q38" s="10">
        <f>H23+0.75*SUM(H24:H25,H28)+$H$29*$M$11</f>
        <v>7550</v>
      </c>
      <c r="R38" s="10">
        <f>H23+SUM(H26:H27)+$H$29*$M$11</f>
        <v>9910</v>
      </c>
      <c r="S38" s="10">
        <f>H23+0.75*SUM(H24:H27)+$H$29*$M$11</f>
        <v>12357.5</v>
      </c>
      <c r="T38" s="10"/>
    </row>
    <row r="39" spans="1:22" x14ac:dyDescent="0.25">
      <c r="A39" t="s">
        <v>183</v>
      </c>
      <c r="B39" t="s">
        <v>184</v>
      </c>
      <c r="C39" s="16">
        <f>C38/M2</f>
        <v>13.888888888888889</v>
      </c>
      <c r="D39" t="s">
        <v>122</v>
      </c>
      <c r="K39" t="s">
        <v>51</v>
      </c>
      <c r="L39">
        <v>1</v>
      </c>
      <c r="M39">
        <v>1</v>
      </c>
      <c r="N39">
        <v>1</v>
      </c>
      <c r="O39">
        <v>1</v>
      </c>
      <c r="P39">
        <v>0.75</v>
      </c>
      <c r="Q39">
        <v>0.75</v>
      </c>
      <c r="R39">
        <v>0.75</v>
      </c>
      <c r="S39">
        <v>0.75</v>
      </c>
    </row>
    <row r="40" spans="1:22" x14ac:dyDescent="0.25">
      <c r="A40" t="s">
        <v>36</v>
      </c>
      <c r="B40" t="s">
        <v>2</v>
      </c>
      <c r="C40" s="15">
        <f>C37+C38</f>
        <v>19590.476190476187</v>
      </c>
      <c r="D40" t="s">
        <v>3</v>
      </c>
      <c r="K40" t="s">
        <v>52</v>
      </c>
      <c r="L40" s="12">
        <f>L38*L39</f>
        <v>3500</v>
      </c>
      <c r="M40" s="12">
        <f t="shared" ref="M40:S40" si="0">M38*M39</f>
        <v>8900</v>
      </c>
      <c r="N40" s="12">
        <f t="shared" si="0"/>
        <v>3500</v>
      </c>
      <c r="O40" s="12">
        <f t="shared" si="0"/>
        <v>7550</v>
      </c>
      <c r="P40" s="12">
        <f t="shared" si="0"/>
        <v>2625</v>
      </c>
      <c r="Q40" s="12">
        <f t="shared" si="0"/>
        <v>5662.5</v>
      </c>
      <c r="R40" s="12">
        <f t="shared" si="0"/>
        <v>7432.5</v>
      </c>
      <c r="S40" s="12">
        <f t="shared" si="0"/>
        <v>9268.125</v>
      </c>
    </row>
    <row r="41" spans="1:22" x14ac:dyDescent="0.25">
      <c r="A41" t="s">
        <v>177</v>
      </c>
      <c r="B41" t="s">
        <v>178</v>
      </c>
      <c r="C41" s="16">
        <f>M2/2-((M2/2-C26)*C37+(M2/2)*C38)/C40</f>
        <v>0</v>
      </c>
      <c r="D41" t="s">
        <v>58</v>
      </c>
      <c r="M41" s="1"/>
    </row>
    <row r="42" spans="1:22" ht="18" x14ac:dyDescent="0.35">
      <c r="A42" t="s">
        <v>117</v>
      </c>
      <c r="B42" t="s">
        <v>118</v>
      </c>
      <c r="C42" s="15">
        <f>C37*C41</f>
        <v>0</v>
      </c>
      <c r="D42" t="s">
        <v>119</v>
      </c>
      <c r="K42" t="s">
        <v>86</v>
      </c>
      <c r="L42" t="s">
        <v>87</v>
      </c>
      <c r="M42" s="1" t="s">
        <v>88</v>
      </c>
      <c r="N42" s="1" t="s">
        <v>92</v>
      </c>
      <c r="O42" s="1" t="s">
        <v>89</v>
      </c>
      <c r="P42" s="1" t="s">
        <v>90</v>
      </c>
      <c r="Q42" s="1" t="s">
        <v>91</v>
      </c>
      <c r="T42">
        <f>MATCH(MAX(L43:Q43),L43:Q43,0)</f>
        <v>6</v>
      </c>
    </row>
    <row r="43" spans="1:22" x14ac:dyDescent="0.25">
      <c r="A43" t="s">
        <v>121</v>
      </c>
      <c r="K43" t="s">
        <v>36</v>
      </c>
      <c r="L43" s="10">
        <f>1.4*($H$23+$M$54)</f>
        <v>4900</v>
      </c>
      <c r="M43" s="10">
        <f>1.2*($H$23+$M$54)+1.6*H24</f>
        <v>12840</v>
      </c>
      <c r="N43" s="10">
        <f>1.2*($H$23+$M$54)+1.6*H25+H24</f>
        <v>9600</v>
      </c>
      <c r="O43" s="10">
        <f>1.2*($H$23+$M$54)+1.6*H24+0.5/0.7*H28</f>
        <v>12840</v>
      </c>
      <c r="P43" s="10">
        <f>1.2*($H$23+$M$54)+0.5*H25+0.5/0.7*H28</f>
        <v>4200</v>
      </c>
      <c r="Q43" s="10">
        <f>1.2*($H$23+$M$54)+1/0.7*(H26+H27)+H24+0.2*H25</f>
        <v>18757.142857142855</v>
      </c>
      <c r="U43" s="10"/>
    </row>
    <row r="44" spans="1:22" ht="18" x14ac:dyDescent="0.35">
      <c r="A44" t="s">
        <v>127</v>
      </c>
      <c r="B44" t="s">
        <v>123</v>
      </c>
      <c r="C44" s="15">
        <f>C40/M2+6*C42/M2^2</f>
        <v>326.50793650793645</v>
      </c>
      <c r="D44" t="s">
        <v>122</v>
      </c>
      <c r="K44" t="s">
        <v>120</v>
      </c>
      <c r="L44" cm="1">
        <f t="array" ref="L44">INDEX(L43:Q43,1,T42)</f>
        <v>18757.142857142855</v>
      </c>
      <c r="M44" s="1"/>
    </row>
    <row r="45" spans="1:22" ht="18" x14ac:dyDescent="0.35">
      <c r="A45" t="s">
        <v>128</v>
      </c>
      <c r="B45" t="s">
        <v>124</v>
      </c>
      <c r="C45" s="15">
        <f>C40/M2-6*C42/M2^2</f>
        <v>326.50793650793645</v>
      </c>
      <c r="D45" t="s">
        <v>122</v>
      </c>
    </row>
    <row r="46" spans="1:22" x14ac:dyDescent="0.25">
      <c r="A46" t="s">
        <v>188</v>
      </c>
      <c r="C46" s="15" t="b">
        <f>C45&gt;=0</f>
        <v>1</v>
      </c>
    </row>
    <row r="47" spans="1:22" x14ac:dyDescent="0.25">
      <c r="A47" t="s">
        <v>125</v>
      </c>
    </row>
    <row r="48" spans="1:22" x14ac:dyDescent="0.25">
      <c r="A48" t="s">
        <v>186</v>
      </c>
      <c r="B48" t="s">
        <v>126</v>
      </c>
      <c r="C48" s="13">
        <f>M2/2-C41</f>
        <v>30</v>
      </c>
      <c r="D48" t="s">
        <v>58</v>
      </c>
    </row>
    <row r="49" spans="1:16" ht="18" x14ac:dyDescent="0.35">
      <c r="A49" t="s">
        <v>185</v>
      </c>
      <c r="B49" t="s">
        <v>187</v>
      </c>
      <c r="C49" s="13">
        <f>MAX(0,M2-C48*3)</f>
        <v>0</v>
      </c>
      <c r="D49" t="s">
        <v>58</v>
      </c>
    </row>
    <row r="50" spans="1:16" ht="18" x14ac:dyDescent="0.35">
      <c r="A50" t="s">
        <v>127</v>
      </c>
      <c r="B50" t="s">
        <v>123</v>
      </c>
      <c r="C50" s="15">
        <f>2*C40/(3*C48)</f>
        <v>435.34391534391528</v>
      </c>
      <c r="D50" t="s">
        <v>122</v>
      </c>
      <c r="K50" s="4"/>
    </row>
    <row r="51" spans="1:16" ht="18" x14ac:dyDescent="0.35">
      <c r="A51" t="s">
        <v>129</v>
      </c>
      <c r="B51" t="s">
        <v>123</v>
      </c>
      <c r="C51" s="15">
        <f>IF(C46,C44,C50)</f>
        <v>326.50793650793645</v>
      </c>
      <c r="D51" t="s">
        <v>122</v>
      </c>
      <c r="K51" s="4"/>
    </row>
    <row r="52" spans="1:16" x14ac:dyDescent="0.25">
      <c r="A52" t="s">
        <v>130</v>
      </c>
      <c r="C52" s="16">
        <f>IF(C46,(C44-C45)/M2,C50/(3*C48))</f>
        <v>0</v>
      </c>
      <c r="D52" t="s">
        <v>131</v>
      </c>
      <c r="K52" s="4"/>
    </row>
    <row r="53" spans="1:16" x14ac:dyDescent="0.25">
      <c r="C53" s="15"/>
      <c r="K53" s="4"/>
    </row>
    <row r="54" spans="1:16" x14ac:dyDescent="0.25">
      <c r="A54" s="3" t="s">
        <v>138</v>
      </c>
      <c r="C54" s="15"/>
      <c r="M54" s="10"/>
    </row>
    <row r="55" spans="1:16" ht="18" x14ac:dyDescent="0.35">
      <c r="A55" t="s">
        <v>180</v>
      </c>
      <c r="B55" t="s">
        <v>132</v>
      </c>
      <c r="C55" s="16">
        <f>M2/2-C26-C25/2-C27</f>
        <v>10</v>
      </c>
      <c r="D55" t="s">
        <v>58</v>
      </c>
      <c r="M55" s="1"/>
    </row>
    <row r="56" spans="1:16" ht="18" x14ac:dyDescent="0.35">
      <c r="A56" t="s">
        <v>181</v>
      </c>
      <c r="B56" t="s">
        <v>133</v>
      </c>
      <c r="C56" s="16">
        <f>M2/2+C26-C25/2-C27</f>
        <v>10</v>
      </c>
      <c r="D56" t="s">
        <v>58</v>
      </c>
      <c r="E56" t="s">
        <v>182</v>
      </c>
    </row>
    <row r="57" spans="1:16" ht="18" x14ac:dyDescent="0.35">
      <c r="A57" t="s">
        <v>134</v>
      </c>
      <c r="B57" t="s">
        <v>136</v>
      </c>
      <c r="C57" s="15">
        <f>C55*C51-C55^2*C52/2-C39*C55</f>
        <v>3126.1904761904757</v>
      </c>
      <c r="D57" t="s">
        <v>3</v>
      </c>
    </row>
    <row r="58" spans="1:16" ht="18" x14ac:dyDescent="0.35">
      <c r="A58" t="s">
        <v>135</v>
      </c>
      <c r="B58" t="s">
        <v>137</v>
      </c>
      <c r="C58" s="15">
        <f>IF(C46,-C55*C45+C55^2*C52/2,-1*(C56-C49)^2*C52/2)+C39*C56</f>
        <v>-3126.1904761904757</v>
      </c>
      <c r="D58" t="s">
        <v>3</v>
      </c>
      <c r="E58" t="s">
        <v>182</v>
      </c>
    </row>
    <row r="59" spans="1:16" ht="18" x14ac:dyDescent="0.35">
      <c r="A59" t="s">
        <v>189</v>
      </c>
      <c r="B59" t="s">
        <v>190</v>
      </c>
      <c r="C59" s="15">
        <f>MAX(C57,ABS(C58))</f>
        <v>3126.1904761904757</v>
      </c>
      <c r="D59" t="s">
        <v>3</v>
      </c>
    </row>
    <row r="60" spans="1:16" x14ac:dyDescent="0.25">
      <c r="C60" s="15"/>
    </row>
    <row r="61" spans="1:16" x14ac:dyDescent="0.25">
      <c r="A61" s="3" t="s">
        <v>139</v>
      </c>
      <c r="C61" s="15"/>
    </row>
    <row r="62" spans="1:16" ht="18" x14ac:dyDescent="0.35">
      <c r="A62" t="s">
        <v>168</v>
      </c>
      <c r="B62" t="s">
        <v>170</v>
      </c>
      <c r="C62" s="16">
        <f>M2/2-C26-C25/2</f>
        <v>18</v>
      </c>
      <c r="D62" t="s">
        <v>58</v>
      </c>
    </row>
    <row r="63" spans="1:16" ht="18" x14ac:dyDescent="0.35">
      <c r="A63" t="s">
        <v>169</v>
      </c>
      <c r="B63" t="s">
        <v>171</v>
      </c>
      <c r="C63" s="16">
        <f>M2/2+C26-C25/2</f>
        <v>18</v>
      </c>
      <c r="D63" t="s">
        <v>58</v>
      </c>
      <c r="E63" t="s">
        <v>182</v>
      </c>
    </row>
    <row r="64" spans="1:16" ht="18" x14ac:dyDescent="0.35">
      <c r="A64" t="s">
        <v>172</v>
      </c>
      <c r="B64" t="s">
        <v>173</v>
      </c>
      <c r="C64" s="16">
        <f>M3/2-C24/2</f>
        <v>4</v>
      </c>
      <c r="D64" t="s">
        <v>58</v>
      </c>
      <c r="K64" s="25"/>
      <c r="L64" s="25"/>
      <c r="M64" s="25"/>
      <c r="N64" s="25"/>
      <c r="O64" s="25"/>
      <c r="P64" s="25"/>
    </row>
    <row r="65" spans="1:16" ht="18" x14ac:dyDescent="0.35">
      <c r="A65" t="s">
        <v>191</v>
      </c>
      <c r="B65" t="s">
        <v>192</v>
      </c>
      <c r="C65" s="15">
        <f>C51*C62^2/2-C52*C62^3/6-C39*C62^2/2</f>
        <v>50644.285714285703</v>
      </c>
      <c r="D65" t="s">
        <v>119</v>
      </c>
      <c r="K65" s="25"/>
      <c r="L65" s="25"/>
      <c r="M65" s="25"/>
      <c r="N65" s="25"/>
      <c r="O65" s="25"/>
      <c r="P65" s="25"/>
    </row>
    <row r="66" spans="1:16" ht="18" x14ac:dyDescent="0.35">
      <c r="A66" t="s">
        <v>193</v>
      </c>
      <c r="B66" t="s">
        <v>194</v>
      </c>
      <c r="C66" s="15">
        <f>IF(C46,C45*C63^2/2+C52*C63^3/6,C52*(C63-C49)^3/6)-C39*C63^2/2</f>
        <v>50644.285714285703</v>
      </c>
      <c r="D66" t="s">
        <v>119</v>
      </c>
      <c r="E66" t="s">
        <v>182</v>
      </c>
      <c r="K66" s="25"/>
      <c r="L66" s="25"/>
      <c r="M66" s="24"/>
      <c r="N66" s="25"/>
      <c r="O66" s="25"/>
      <c r="P66" s="25"/>
    </row>
    <row r="67" spans="1:16" ht="18" x14ac:dyDescent="0.35">
      <c r="A67" t="s">
        <v>202</v>
      </c>
      <c r="B67" t="s">
        <v>203</v>
      </c>
      <c r="C67" s="15">
        <f>MAX(C65:C66)</f>
        <v>50644.285714285703</v>
      </c>
      <c r="D67" t="s">
        <v>119</v>
      </c>
      <c r="K67" s="25"/>
      <c r="L67" s="25"/>
      <c r="M67" s="24"/>
      <c r="N67" s="25"/>
      <c r="O67" s="25"/>
      <c r="P67" s="25"/>
    </row>
    <row r="68" spans="1:16" ht="18" x14ac:dyDescent="0.35">
      <c r="A68" t="s">
        <v>204</v>
      </c>
      <c r="B68" t="s">
        <v>205</v>
      </c>
      <c r="C68" s="15">
        <f>(C37/M3)*C64^2/2</f>
        <v>9378.5714285714275</v>
      </c>
      <c r="D68" t="s">
        <v>119</v>
      </c>
      <c r="K68" s="25"/>
      <c r="L68" s="25"/>
      <c r="M68" s="24"/>
      <c r="N68" s="25"/>
      <c r="O68" s="25"/>
      <c r="P68" s="25"/>
    </row>
    <row r="69" spans="1:16" x14ac:dyDescent="0.25">
      <c r="K69" s="25"/>
      <c r="L69" s="25"/>
      <c r="M69" s="24"/>
      <c r="N69" s="25"/>
      <c r="O69" s="25"/>
      <c r="P69" s="25"/>
    </row>
    <row r="70" spans="1:16" x14ac:dyDescent="0.25">
      <c r="A70" s="3" t="s">
        <v>63</v>
      </c>
      <c r="K70" s="25"/>
      <c r="L70" s="25"/>
      <c r="M70" s="24"/>
      <c r="N70" s="25"/>
      <c r="O70" s="25"/>
      <c r="P70" s="25"/>
    </row>
    <row r="71" spans="1:16" ht="18" x14ac:dyDescent="0.35">
      <c r="A71" s="4" t="s">
        <v>68</v>
      </c>
      <c r="B71" s="14" t="s">
        <v>70</v>
      </c>
      <c r="C71" s="13">
        <f>IF(AND($M$17&gt;0),0.75,0.6)</f>
        <v>0.75</v>
      </c>
      <c r="E71" t="s">
        <v>71</v>
      </c>
      <c r="K71" s="25"/>
      <c r="L71" s="25"/>
      <c r="M71" s="24"/>
      <c r="N71" s="25"/>
      <c r="O71" s="25"/>
      <c r="P71" s="25"/>
    </row>
    <row r="72" spans="1:16" ht="18" x14ac:dyDescent="0.35">
      <c r="A72" t="s">
        <v>64</v>
      </c>
      <c r="B72" t="s">
        <v>75</v>
      </c>
      <c r="C72" s="13">
        <f>MIN(M2,M3)</f>
        <v>16</v>
      </c>
      <c r="D72" t="s">
        <v>58</v>
      </c>
      <c r="K72" s="25"/>
      <c r="L72" s="25"/>
      <c r="M72" s="24"/>
      <c r="N72" s="25"/>
      <c r="O72" s="25"/>
      <c r="P72" s="25"/>
    </row>
    <row r="73" spans="1:16" ht="18" x14ac:dyDescent="0.35">
      <c r="A73" t="s">
        <v>77</v>
      </c>
      <c r="B73" t="s">
        <v>76</v>
      </c>
      <c r="C73" s="15">
        <f>2*SQRT(C32)*C72*C27</f>
        <v>12800</v>
      </c>
      <c r="D73" t="s">
        <v>3</v>
      </c>
      <c r="E73" t="s">
        <v>78</v>
      </c>
      <c r="K73" s="25"/>
      <c r="L73" s="25"/>
      <c r="M73" s="24"/>
      <c r="N73" s="25"/>
      <c r="O73" s="25"/>
      <c r="P73" s="25"/>
    </row>
    <row r="74" spans="1:16" ht="18" x14ac:dyDescent="0.35">
      <c r="A74" t="s">
        <v>66</v>
      </c>
      <c r="B74" t="s">
        <v>67</v>
      </c>
      <c r="C74" s="15">
        <v>0</v>
      </c>
      <c r="D74" t="s">
        <v>3</v>
      </c>
      <c r="K74" s="25"/>
      <c r="L74" s="25"/>
      <c r="M74" s="24"/>
      <c r="N74" s="25"/>
      <c r="O74" s="25"/>
      <c r="P74" s="25"/>
    </row>
    <row r="75" spans="1:16" ht="18" x14ac:dyDescent="0.35">
      <c r="A75" t="s">
        <v>79</v>
      </c>
      <c r="B75" t="s">
        <v>80</v>
      </c>
      <c r="C75" s="12">
        <f>C73+C74</f>
        <v>12800</v>
      </c>
      <c r="D75" t="s">
        <v>3</v>
      </c>
      <c r="E75" t="s">
        <v>81</v>
      </c>
      <c r="M75" s="18"/>
    </row>
    <row r="76" spans="1:16" ht="18" x14ac:dyDescent="0.35">
      <c r="A76" t="s">
        <v>82</v>
      </c>
      <c r="B76" s="14" t="s">
        <v>83</v>
      </c>
      <c r="C76" s="12">
        <f>C75*C71</f>
        <v>9600</v>
      </c>
      <c r="D76" t="s">
        <v>3</v>
      </c>
      <c r="M76" s="18"/>
    </row>
    <row r="77" spans="1:16" x14ac:dyDescent="0.25">
      <c r="C77" s="12"/>
      <c r="M77" s="18"/>
    </row>
    <row r="78" spans="1:16" x14ac:dyDescent="0.25">
      <c r="A78" s="3" t="s">
        <v>94</v>
      </c>
      <c r="M78" s="18"/>
    </row>
    <row r="79" spans="1:16" ht="18" x14ac:dyDescent="0.35">
      <c r="A79" s="4" t="s">
        <v>68</v>
      </c>
      <c r="B79" s="14" t="s">
        <v>70</v>
      </c>
      <c r="C79" s="13">
        <f>IF(AND($M$17&gt;0),0.75,0.6)</f>
        <v>0.75</v>
      </c>
      <c r="E79" t="s">
        <v>71</v>
      </c>
      <c r="M79" s="18"/>
    </row>
    <row r="80" spans="1:16" ht="18" x14ac:dyDescent="0.35">
      <c r="A80" s="4" t="s">
        <v>98</v>
      </c>
      <c r="B80" s="14" t="s">
        <v>100</v>
      </c>
      <c r="C80" s="13">
        <f>C24+C27</f>
        <v>16</v>
      </c>
      <c r="D80" t="s">
        <v>58</v>
      </c>
      <c r="E80" t="s">
        <v>104</v>
      </c>
      <c r="M80" s="18"/>
    </row>
    <row r="81" spans="1:21" ht="18" x14ac:dyDescent="0.35">
      <c r="A81" s="4" t="s">
        <v>99</v>
      </c>
      <c r="B81" s="14" t="s">
        <v>101</v>
      </c>
      <c r="C81" s="13">
        <f>C25+C27</f>
        <v>32</v>
      </c>
      <c r="D81" t="s">
        <v>58</v>
      </c>
      <c r="E81" t="s">
        <v>104</v>
      </c>
      <c r="M81" s="18"/>
    </row>
    <row r="82" spans="1:21" ht="18" x14ac:dyDescent="0.35">
      <c r="A82" s="4" t="s">
        <v>95</v>
      </c>
      <c r="B82" s="14" t="s">
        <v>96</v>
      </c>
      <c r="C82" s="13">
        <f>2*C80+2*C81</f>
        <v>96</v>
      </c>
      <c r="D82" t="s">
        <v>58</v>
      </c>
      <c r="M82" s="18"/>
    </row>
    <row r="83" spans="1:21" x14ac:dyDescent="0.25">
      <c r="A83" s="4" t="s">
        <v>105</v>
      </c>
      <c r="B83" s="14" t="s">
        <v>106</v>
      </c>
      <c r="C83" s="13">
        <f>MAX(C24:C25)/MIN(C24:C25)</f>
        <v>3</v>
      </c>
      <c r="M83" s="18"/>
    </row>
    <row r="84" spans="1:21" ht="18" x14ac:dyDescent="0.35">
      <c r="A84" s="4" t="s">
        <v>109</v>
      </c>
      <c r="B84" s="14" t="s">
        <v>107</v>
      </c>
      <c r="C84" s="15">
        <v>40</v>
      </c>
      <c r="E84" t="s">
        <v>108</v>
      </c>
      <c r="M84" s="18"/>
    </row>
    <row r="85" spans="1:21" ht="18" x14ac:dyDescent="0.35">
      <c r="A85" t="s">
        <v>110</v>
      </c>
      <c r="B85" t="s">
        <v>111</v>
      </c>
      <c r="C85" s="12">
        <f>MIN(4,2+4/C83,2+C84*C27/C82)*SQRT(C32)</f>
        <v>166.66666666666666</v>
      </c>
      <c r="D85" t="s">
        <v>12</v>
      </c>
      <c r="E85" t="s">
        <v>112</v>
      </c>
      <c r="M85" s="18"/>
    </row>
    <row r="86" spans="1:21" ht="18" x14ac:dyDescent="0.35">
      <c r="A86" t="s">
        <v>113</v>
      </c>
      <c r="B86" t="s">
        <v>76</v>
      </c>
      <c r="C86" s="12">
        <f>C85*C82*C27</f>
        <v>128000</v>
      </c>
      <c r="D86" t="s">
        <v>3</v>
      </c>
      <c r="M86" s="18"/>
    </row>
    <row r="87" spans="1:21" ht="18" x14ac:dyDescent="0.35">
      <c r="A87" t="s">
        <v>114</v>
      </c>
      <c r="B87" s="14" t="s">
        <v>115</v>
      </c>
      <c r="C87" s="12">
        <f>C86*C79</f>
        <v>96000</v>
      </c>
      <c r="D87" t="s">
        <v>3</v>
      </c>
      <c r="M87" s="18"/>
    </row>
    <row r="88" spans="1:21" x14ac:dyDescent="0.25">
      <c r="M88" s="18"/>
    </row>
    <row r="89" spans="1:21" x14ac:dyDescent="0.25">
      <c r="A89" s="3" t="str">
        <f>IF($M$17&gt;0,K89,Q89)</f>
        <v>Flexure - Longitudinal (Reinforced)</v>
      </c>
      <c r="K89" s="3" t="s">
        <v>167</v>
      </c>
      <c r="M89" s="18"/>
      <c r="Q89" s="3" t="s">
        <v>195</v>
      </c>
    </row>
    <row r="90" spans="1:21" x14ac:dyDescent="0.25">
      <c r="A90" t="str">
        <f>IF($M$17&gt;0,IF(K90=0,"",K90),IF(Q90=0,"",Q90))</f>
        <v>Strength reduction factor for moment</v>
      </c>
      <c r="B90" t="str">
        <f>IF($M$17&gt;0,IF(L90=0,"",L90),IF(R90=0,"",R90))</f>
        <v>ɸ</v>
      </c>
      <c r="C90" s="9">
        <f>IF($M$17&gt;0,IF(M90=0,"",M90),IF(S90=0,"",S90))</f>
        <v>0.9</v>
      </c>
      <c r="D90" t="str">
        <f>IF($M$17&gt;0,IF(N90=0,"",N90),IF(T90=0,"",T90))</f>
        <v/>
      </c>
      <c r="E90" t="str">
        <f>IF($M$17&gt;0,IF(O90=0,"",O90),IF(U90=0,"",U90))</f>
        <v>(ACI 318R-14 Table 21.2.2)</v>
      </c>
      <c r="K90" t="s">
        <v>142</v>
      </c>
      <c r="L90" s="14" t="s">
        <v>69</v>
      </c>
      <c r="M90" s="9">
        <f>IF(M98&gt;=0.005,0.9,0.75+0.15*MAX(0,M98-0.002)/(0.005-0.002))</f>
        <v>0.9</v>
      </c>
      <c r="O90" t="s">
        <v>143</v>
      </c>
      <c r="Q90" t="s">
        <v>142</v>
      </c>
      <c r="R90" s="14" t="s">
        <v>69</v>
      </c>
      <c r="S90" s="9">
        <v>0.6</v>
      </c>
      <c r="U90" t="s">
        <v>143</v>
      </c>
    </row>
    <row r="91" spans="1:21" ht="18.75" x14ac:dyDescent="0.35">
      <c r="A91" t="str">
        <f>IF($M$17&gt;0,IF(K91=0,"",K91),IF(Q91=0,"",Q91))</f>
        <v>Equivalent rectangular stress distribution factor</v>
      </c>
      <c r="B91" t="str">
        <f>IF($M$17&gt;0,IF(L91=0,"",L91),IF(R91=0,"",R91))</f>
        <v>β1</v>
      </c>
      <c r="C91" s="9">
        <f>IF($M$17&gt;0,IF(M91=0,"",M91),IF(S91=0,"",S91))</f>
        <v>0.85</v>
      </c>
      <c r="D91" t="str">
        <f>IF($M$17&gt;0,IF(N91=0,"",N91),IF(T91=0,"",T91))</f>
        <v/>
      </c>
      <c r="E91" t="str">
        <f>IF($M$17&gt;0,IF(O91=0,"",O91),IF(U91=0,"",U91))</f>
        <v>(ACI 318R-14 Table 21.2.2.4.3)</v>
      </c>
      <c r="K91" t="s">
        <v>144</v>
      </c>
      <c r="L91" s="14" t="s">
        <v>145</v>
      </c>
      <c r="M91" s="9">
        <v>0.85</v>
      </c>
      <c r="O91" t="s">
        <v>146</v>
      </c>
      <c r="Q91" t="s">
        <v>196</v>
      </c>
      <c r="R91" t="s">
        <v>197</v>
      </c>
      <c r="S91" s="9">
        <f>M3*C27^2/6</f>
        <v>170.66666666666666</v>
      </c>
      <c r="T91" t="s">
        <v>198</v>
      </c>
    </row>
    <row r="92" spans="1:21" ht="18" x14ac:dyDescent="0.35">
      <c r="A92" t="str">
        <f>IF($M$17&gt;0,IF(K92=0,"",K92),IF(Q92=0,"",Q92))</f>
        <v>Assumed uniform concrete stress at compression zone</v>
      </c>
      <c r="B92" t="str">
        <f>IF($M$17&gt;0,IF(L92=0,"",L92),IF(R92=0,"",R92))</f>
        <v>0.85fc'</v>
      </c>
      <c r="C92" s="10">
        <f>IF($M$17&gt;0,IF(M92=0,"",M92),IF(S92=0,"",S92))</f>
        <v>2125</v>
      </c>
      <c r="D92" t="str">
        <f>IF($M$17&gt;0,IF(N92=0,"",N92),IF(T92=0,"",T92))</f>
        <v>psi</v>
      </c>
      <c r="E92" t="str">
        <f>IF($M$17&gt;0,IF(O92=0,"",O92),IF(U92=0,"",U92))</f>
        <v>(ACI 318R-14 22.2.4.1)</v>
      </c>
      <c r="K92" t="s">
        <v>147</v>
      </c>
      <c r="L92" t="s">
        <v>148</v>
      </c>
      <c r="M92" s="10">
        <f>0.85*$C$32</f>
        <v>2125</v>
      </c>
      <c r="N92" t="s">
        <v>12</v>
      </c>
      <c r="O92" t="s">
        <v>149</v>
      </c>
      <c r="Q92" t="s">
        <v>162</v>
      </c>
      <c r="R92" s="14" t="s">
        <v>163</v>
      </c>
      <c r="S92" s="10">
        <f>MIN(5*SQRT($C$32),0.85*$C$32)*S91</f>
        <v>42666.666666666664</v>
      </c>
      <c r="T92" t="s">
        <v>119</v>
      </c>
    </row>
    <row r="93" spans="1:21" ht="18.75" x14ac:dyDescent="0.35">
      <c r="A93" t="str">
        <f>IF($M$17&gt;0,IF(K93=0,"",K93),IF(Q93=0,"",Q93))</f>
        <v>Cross sectional area of steel acting in tension</v>
      </c>
      <c r="B93" t="str">
        <f>IF($M$17&gt;0,IF(L93=0,"",L93),IF(R93=0,"",R93))</f>
        <v>As'</v>
      </c>
      <c r="C93" s="17">
        <f>IF($M$17&gt;0,IF(M93=0,"",M93),IF(S93=0,"",S93))</f>
        <v>0.58904862254808621</v>
      </c>
      <c r="D93" t="str">
        <f>IF($M$17&gt;0,IF(N93=0,"",N93),IF(T93=0,"",T93))</f>
        <v>in2</v>
      </c>
      <c r="E93" t="str">
        <f>IF($M$17&gt;0,IF(O93=0,"",O93),IF(U93=0,"",U93))</f>
        <v/>
      </c>
      <c r="K93" t="s">
        <v>150</v>
      </c>
      <c r="L93" t="s">
        <v>151</v>
      </c>
      <c r="M93" s="9">
        <f>PI()*(M16/8/2)^2*M17</f>
        <v>0.58904862254808621</v>
      </c>
      <c r="N93" t="s">
        <v>55</v>
      </c>
      <c r="R93" s="14"/>
    </row>
    <row r="94" spans="1:21" ht="18" x14ac:dyDescent="0.35">
      <c r="A94" t="str">
        <f>IF($M$17&gt;0,IF(K94=0,"",K94),IF(Q94=0,"",Q94))</f>
        <v>Steel tension at yield</v>
      </c>
      <c r="B94" t="str">
        <f>IF($M$17&gt;0,IF(L94=0,"",L94),IF(R94=0,"",R94))</f>
        <v>As'Fy</v>
      </c>
      <c r="C94" s="10">
        <f>IF($M$17&gt;0,IF(M94=0,"",M94),IF(S94=0,"",S94))</f>
        <v>35342.917352885175</v>
      </c>
      <c r="D94" t="str">
        <f>IF($M$17&gt;0,IF(N94=0,"",N94),IF(T94=0,"",T94))</f>
        <v>lbs</v>
      </c>
      <c r="E94" t="str">
        <f>IF($M$17&gt;0,IF(O94=0,"",O94),IF(U94=0,"",U94))</f>
        <v/>
      </c>
      <c r="K94" t="s">
        <v>152</v>
      </c>
      <c r="L94" t="s">
        <v>153</v>
      </c>
      <c r="M94" s="10">
        <f>M93*$C$33</f>
        <v>35342.917352885175</v>
      </c>
      <c r="N94" t="s">
        <v>3</v>
      </c>
    </row>
    <row r="95" spans="1:21" x14ac:dyDescent="0.25">
      <c r="A95" t="str">
        <f>IF($M$17&gt;0,IF(K95=0,"",K95),IF(Q95=0,"",Q95))</f>
        <v>Equivalent height of rectangular stress block</v>
      </c>
      <c r="B95" t="str">
        <f>IF($M$17&gt;0,IF(L95=0,"",L95),IF(R95=0,"",R95))</f>
        <v>a</v>
      </c>
      <c r="C95" s="9">
        <f>IF($M$17&gt;0,IF(M95=0,"",M95),IF(S95=0,"",S95))</f>
        <v>1.0394975692025052</v>
      </c>
      <c r="D95" t="str">
        <f>IF($M$17&gt;0,IF(N95=0,"",N95),IF(T95=0,"",T95))</f>
        <v>inches</v>
      </c>
      <c r="E95" t="str">
        <f>IF($M$17&gt;0,IF(O95=0,"",O95),IF(U95=0,"",U95))</f>
        <v/>
      </c>
      <c r="K95" t="s">
        <v>154</v>
      </c>
      <c r="L95" t="s">
        <v>14</v>
      </c>
      <c r="M95" s="9">
        <f>M94/M92/M3</f>
        <v>1.0394975692025052</v>
      </c>
      <c r="N95" t="s">
        <v>7</v>
      </c>
    </row>
    <row r="96" spans="1:21" x14ac:dyDescent="0.25">
      <c r="A96" t="str">
        <f>IF($M$17&gt;0,IF(K96=0,"",K96),IF(Q96=0,"",Q96))</f>
        <v>Distance from compression edge to neutral axis</v>
      </c>
      <c r="B96" t="str">
        <f>IF($M$17&gt;0,IF(L96=0,"",L96),IF(R96=0,"",R96))</f>
        <v>c</v>
      </c>
      <c r="C96" s="9">
        <f>IF($M$17&gt;0,IF(M96=0,"",M96),IF(S96=0,"",S96))</f>
        <v>1.2229383167088297</v>
      </c>
      <c r="D96" t="str">
        <f>IF($M$17&gt;0,IF(N96=0,"",N96),IF(T96=0,"",T96))</f>
        <v>inches</v>
      </c>
      <c r="E96" t="str">
        <f>IF($M$17&gt;0,IF(O96=0,"",O96),IF(U96=0,"",U96))</f>
        <v>(ACI 318R-14 22.2.4.1)</v>
      </c>
      <c r="K96" t="s">
        <v>155</v>
      </c>
      <c r="L96" t="s">
        <v>93</v>
      </c>
      <c r="M96" s="9">
        <f>M95/M91</f>
        <v>1.2229383167088297</v>
      </c>
      <c r="N96" t="s">
        <v>7</v>
      </c>
      <c r="O96" t="s">
        <v>149</v>
      </c>
    </row>
    <row r="97" spans="1:21" ht="18" x14ac:dyDescent="0.35">
      <c r="A97" t="str">
        <f>IF($M$17&gt;0,IF(K97=0,"",K97),IF(Q97=0,"",Q97))</f>
        <v>Concrete strain at yield</v>
      </c>
      <c r="B97" t="str">
        <f>IF($M$17&gt;0,IF(L97=0,"",L97),IF(R97=0,"",R97))</f>
        <v>εc</v>
      </c>
      <c r="C97" s="17">
        <f>IF($M$17&gt;0,IF(M97=0,"",M97),IF(S97=0,"",S97))</f>
        <v>3.0000000000000001E-3</v>
      </c>
      <c r="D97" t="str">
        <f>IF($M$17&gt;0,IF(N97=0,"",N97),IF(T97=0,"",T97))</f>
        <v/>
      </c>
      <c r="E97" t="str">
        <f>IF($M$17&gt;0,IF(O97=0,"",O97),IF(U97=0,"",U97))</f>
        <v>(ACI 318R-14 22.2.2.1)</v>
      </c>
      <c r="K97" t="s">
        <v>156</v>
      </c>
      <c r="L97" s="14" t="s">
        <v>157</v>
      </c>
      <c r="M97" s="17">
        <v>3.0000000000000001E-3</v>
      </c>
      <c r="O97" t="s">
        <v>158</v>
      </c>
    </row>
    <row r="98" spans="1:21" ht="18" x14ac:dyDescent="0.35">
      <c r="A98" t="str">
        <f>IF($M$17&gt;0,IF(K98=0,"",K98),IF(Q98=0,"",Q98))</f>
        <v>Steel strain at yield</v>
      </c>
      <c r="B98" t="str">
        <f>IF($M$17&gt;0,IF(L98=0,"",L98),IF(R98=0,"",R98))</f>
        <v>εs</v>
      </c>
      <c r="C98" s="17">
        <f>IF($M$17&gt;0,IF(M98=0,"",M98),IF(S98=0,"",S98))</f>
        <v>1.2331926184519249E-2</v>
      </c>
      <c r="D98" t="str">
        <f>IF($M$17&gt;0,IF(N98=0,"",N98),IF(T98=0,"",T98))</f>
        <v/>
      </c>
      <c r="E98" t="str">
        <f>IF($M$17&gt;0,IF(O98=0,"",O98),IF(U98=0,"",U98))</f>
        <v/>
      </c>
      <c r="K98" t="s">
        <v>159</v>
      </c>
      <c r="L98" s="14" t="s">
        <v>160</v>
      </c>
      <c r="M98" s="17">
        <f>M97*(M99-M96)/M96</f>
        <v>1.2331926184519249E-2</v>
      </c>
    </row>
    <row r="99" spans="1:21" x14ac:dyDescent="0.25">
      <c r="A99" t="str">
        <f>IF($M$17&gt;0,IF(K99=0,"",K99),IF(Q99=0,"",Q99))</f>
        <v>Depth to tension reinforcement</v>
      </c>
      <c r="B99" t="str">
        <f>IF($M$17&gt;0,IF(L99=0,"",L99),IF(R99=0,"",R99))</f>
        <v>d</v>
      </c>
      <c r="C99" s="9">
        <f>IF($M$17&gt;0,IF(M99=0,"",M99),IF(S99=0,"",S99))</f>
        <v>6.25</v>
      </c>
      <c r="D99" t="str">
        <f>IF($M$17&gt;0,IF(N99=0,"",N99),IF(T99=0,"",T99))</f>
        <v>inches</v>
      </c>
      <c r="E99" t="str">
        <f>IF($M$17&gt;0,IF(O99=0,"",O99),IF(U99=0,"",U99))</f>
        <v/>
      </c>
      <c r="K99" t="s">
        <v>161</v>
      </c>
      <c r="L99" s="14" t="s">
        <v>13</v>
      </c>
      <c r="M99" s="9">
        <f>M4-C28</f>
        <v>6.25</v>
      </c>
      <c r="N99" t="s">
        <v>7</v>
      </c>
    </row>
    <row r="100" spans="1:21" ht="18" x14ac:dyDescent="0.35">
      <c r="A100" t="str">
        <f>IF($M$17&gt;0,IF(K100=0,"",K100),IF(Q100=0,"",Q100))</f>
        <v>Nominal flexural strength</v>
      </c>
      <c r="B100" t="str">
        <f>IF($M$17&gt;0,IF(L100=0,"",L100),IF(R100=0,"",R100))</f>
        <v>Mn</v>
      </c>
      <c r="C100" s="10">
        <f>IF($M$17&gt;0,IF(M100=0,"",M100),IF(S100=0,"",S100))</f>
        <v>202523.79511710777</v>
      </c>
      <c r="D100" t="str">
        <f>IF($M$17&gt;0,IF(N100=0,"",N100),IF(T100=0,"",T100))</f>
        <v>in-lbs</v>
      </c>
      <c r="E100" t="str">
        <f>IF($M$17&gt;0,IF(O100=0,"",O100),IF(U100=0,"",U100))</f>
        <v/>
      </c>
      <c r="K100" t="s">
        <v>162</v>
      </c>
      <c r="L100" s="14" t="s">
        <v>163</v>
      </c>
      <c r="M100" s="10">
        <f>M94*(M99-M95/2)</f>
        <v>202523.79511710777</v>
      </c>
      <c r="N100" t="s">
        <v>119</v>
      </c>
    </row>
    <row r="101" spans="1:21" ht="18" x14ac:dyDescent="0.35">
      <c r="A101" t="str">
        <f>IF($M$17&gt;0,IF(K101=0,"",K101),IF(Q101=0,"",Q101))</f>
        <v>Allowed moment</v>
      </c>
      <c r="B101" t="str">
        <f>IF($M$17&gt;0,IF(L101=0,"",L101),IF(R101=0,"",R101))</f>
        <v>ɸMn</v>
      </c>
      <c r="C101" s="10">
        <f>IF($M$17&gt;0,IF(M101=0,"",M101),IF(S101=0,"",S101))</f>
        <v>182271.41560539699</v>
      </c>
      <c r="D101" t="str">
        <f>IF($M$17&gt;0,IF(N101=0,"",N101),IF(T101=0,"",T101))</f>
        <v>in-lbs</v>
      </c>
      <c r="E101" t="str">
        <f>IF($M$17&gt;0,IF(O101=0,"",O101),IF(U101=0,"",U101))</f>
        <v/>
      </c>
      <c r="K101" t="s">
        <v>164</v>
      </c>
      <c r="L101" s="14" t="s">
        <v>165</v>
      </c>
      <c r="M101" s="10">
        <f>M100*M90</f>
        <v>182271.41560539699</v>
      </c>
      <c r="N101" t="s">
        <v>119</v>
      </c>
      <c r="Q101" t="s">
        <v>164</v>
      </c>
      <c r="R101" s="14" t="s">
        <v>165</v>
      </c>
      <c r="S101">
        <f>S92*S90</f>
        <v>25599.999999999996</v>
      </c>
      <c r="T101" t="s">
        <v>119</v>
      </c>
      <c r="U101" t="s">
        <v>199</v>
      </c>
    </row>
    <row r="102" spans="1:21" x14ac:dyDescent="0.25">
      <c r="M102" s="18"/>
    </row>
    <row r="103" spans="1:21" x14ac:dyDescent="0.25">
      <c r="A103" s="3" t="str">
        <f>IF($M$18&gt;0,K103,Q103)</f>
        <v>Flexure - Transverse (Plain Concrete)</v>
      </c>
      <c r="K103" s="3" t="s">
        <v>200</v>
      </c>
      <c r="M103" s="18"/>
      <c r="Q103" s="3" t="s">
        <v>201</v>
      </c>
    </row>
    <row r="104" spans="1:21" x14ac:dyDescent="0.25">
      <c r="A104" t="str">
        <f>IF($M$18&gt;0,IF(K104=0,"",K104),IF(Q104=0,"",Q104))</f>
        <v>Strength reduction factor for moment</v>
      </c>
      <c r="B104" t="str">
        <f>IF($M$18&gt;0,IF(L104=0,"",L104),IF(R104=0,"",R104))</f>
        <v>ɸ</v>
      </c>
      <c r="C104">
        <f>IF($M$18&gt;0,IF(M104=0,"",M104),IF(S104=0,"",S104))</f>
        <v>0.6</v>
      </c>
      <c r="D104" t="str">
        <f>IF($M$18&gt;0,IF(N104=0,"",N104),IF(T104=0,"",T104))</f>
        <v/>
      </c>
      <c r="E104" t="str">
        <f>IF($M$18&gt;0,IF(O104=0,"",O104),IF(U104=0,"",U104))</f>
        <v>(ACI 318R-14 Table 21.2.2)</v>
      </c>
      <c r="K104" t="s">
        <v>142</v>
      </c>
      <c r="L104" s="14" t="s">
        <v>69</v>
      </c>
      <c r="M104" s="9" t="e">
        <f>IF(M112&gt;=0.005,0.9,0.75+0.15*MAX(0,M112-0.002)/(0.005-0.002))</f>
        <v>#DIV/0!</v>
      </c>
      <c r="O104" t="s">
        <v>143</v>
      </c>
      <c r="Q104" t="s">
        <v>142</v>
      </c>
      <c r="R104" s="14" t="s">
        <v>69</v>
      </c>
      <c r="S104" s="9">
        <v>0.6</v>
      </c>
      <c r="U104" t="s">
        <v>143</v>
      </c>
    </row>
    <row r="105" spans="1:21" ht="18.75" x14ac:dyDescent="0.35">
      <c r="A105" t="str">
        <f>IF($M$18&gt;0,IF(K105=0,"",K105),IF(Q105=0,"",Q105))</f>
        <v>Elastic section Modulus</v>
      </c>
      <c r="B105" t="str">
        <f>IF($M$18&gt;0,IF(L105=0,"",L105),IF(R105=0,"",R105))</f>
        <v>Sm</v>
      </c>
      <c r="C105">
        <f>IF($M$18&gt;0,IF(M105=0,"",M105),IF(S105=0,"",S105))</f>
        <v>640</v>
      </c>
      <c r="D105" t="str">
        <f>IF($M$18&gt;0,IF(N105=0,"",N105),IF(T105=0,"",T105))</f>
        <v>in3</v>
      </c>
      <c r="E105" t="str">
        <f>IF($M$18&gt;0,IF(O105=0,"",O105),IF(U105=0,"",U105))</f>
        <v/>
      </c>
      <c r="K105" t="s">
        <v>144</v>
      </c>
      <c r="L105" s="14" t="s">
        <v>145</v>
      </c>
      <c r="M105" s="9">
        <v>0.85</v>
      </c>
      <c r="O105" t="s">
        <v>146</v>
      </c>
      <c r="Q105" t="s">
        <v>196</v>
      </c>
      <c r="R105" t="s">
        <v>197</v>
      </c>
      <c r="S105" s="9">
        <f>M2*C27^2/6</f>
        <v>640</v>
      </c>
      <c r="T105" t="s">
        <v>198</v>
      </c>
    </row>
    <row r="106" spans="1:21" ht="18" x14ac:dyDescent="0.35">
      <c r="A106" t="str">
        <f>IF($M$18&gt;0,IF(K106=0,"",K106),IF(Q106=0,"",Q106))</f>
        <v>Nominal flexural strength</v>
      </c>
      <c r="B106" t="str">
        <f>IF($M$18&gt;0,IF(L106=0,"",L106),IF(R106=0,"",R106))</f>
        <v>Mn</v>
      </c>
      <c r="C106">
        <f>IF($M$18&gt;0,IF(M106=0,"",M106),IF(S106=0,"",S106))</f>
        <v>160000</v>
      </c>
      <c r="D106" t="str">
        <f>IF($M$18&gt;0,IF(N106=0,"",N106),IF(T106=0,"",T106))</f>
        <v>in-lbs</v>
      </c>
      <c r="E106" t="str">
        <f>IF($M$18&gt;0,IF(O106=0,"",O106),IF(U106=0,"",U106))</f>
        <v/>
      </c>
      <c r="K106" t="s">
        <v>147</v>
      </c>
      <c r="L106" t="s">
        <v>148</v>
      </c>
      <c r="M106" s="10">
        <f>0.85*$C$32</f>
        <v>2125</v>
      </c>
      <c r="N106" t="s">
        <v>12</v>
      </c>
      <c r="O106" t="s">
        <v>149</v>
      </c>
      <c r="Q106" t="s">
        <v>162</v>
      </c>
      <c r="R106" s="14" t="s">
        <v>163</v>
      </c>
      <c r="S106" s="10">
        <f>MIN(5*SQRT($C$32),0.85*$C$32)*S105</f>
        <v>160000</v>
      </c>
      <c r="T106" t="s">
        <v>119</v>
      </c>
    </row>
    <row r="107" spans="1:21" ht="18.75" x14ac:dyDescent="0.35">
      <c r="A107" t="str">
        <f>IF($M$18&gt;0,IF(K107=0,"",K107),IF(Q107=0,"",Q107))</f>
        <v/>
      </c>
      <c r="B107" t="str">
        <f>IF($M$18&gt;0,IF(L107=0,"",L107),IF(R107=0,"",R107))</f>
        <v/>
      </c>
      <c r="C107" t="str">
        <f>IF($M$18&gt;0,IF(M107=0,"",M107),IF(S107=0,"",S107))</f>
        <v/>
      </c>
      <c r="D107" t="str">
        <f>IF($M$18&gt;0,IF(N107=0,"",N107),IF(T107=0,"",T107))</f>
        <v/>
      </c>
      <c r="E107" t="str">
        <f>IF($M$18&gt;0,IF(O107=0,"",O107),IF(U107=0,"",U107))</f>
        <v/>
      </c>
      <c r="K107" t="s">
        <v>150</v>
      </c>
      <c r="L107" t="s">
        <v>151</v>
      </c>
      <c r="M107" s="9">
        <f>PI()*(M16/8/2)^2*M18</f>
        <v>0</v>
      </c>
      <c r="N107" t="s">
        <v>55</v>
      </c>
      <c r="R107" s="14"/>
    </row>
    <row r="108" spans="1:21" ht="18" x14ac:dyDescent="0.35">
      <c r="A108" t="str">
        <f>IF($M$18&gt;0,IF(K108=0,"",K108),IF(Q108=0,"",Q108))</f>
        <v/>
      </c>
      <c r="B108" t="str">
        <f>IF($M$18&gt;0,IF(L108=0,"",L108),IF(R108=0,"",R108))</f>
        <v/>
      </c>
      <c r="C108" t="str">
        <f>IF($M$18&gt;0,IF(M108=0,"",M108),IF(S108=0,"",S108))</f>
        <v/>
      </c>
      <c r="D108" t="str">
        <f>IF($M$18&gt;0,IF(N108=0,"",N108),IF(T108=0,"",T108))</f>
        <v/>
      </c>
      <c r="E108" t="str">
        <f>IF($M$18&gt;0,IF(O108=0,"",O108),IF(U108=0,"",U108))</f>
        <v/>
      </c>
      <c r="K108" t="s">
        <v>152</v>
      </c>
      <c r="L108" t="s">
        <v>153</v>
      </c>
      <c r="M108" s="10">
        <f>M107*$C$33</f>
        <v>0</v>
      </c>
      <c r="N108" t="s">
        <v>3</v>
      </c>
    </row>
    <row r="109" spans="1:21" x14ac:dyDescent="0.25">
      <c r="A109" t="str">
        <f>IF($M$18&gt;0,IF(K109=0,"",K109),IF(Q109=0,"",Q109))</f>
        <v/>
      </c>
      <c r="B109" t="str">
        <f>IF($M$18&gt;0,IF(L109=0,"",L109),IF(R109=0,"",R109))</f>
        <v/>
      </c>
      <c r="C109" t="str">
        <f>IF($M$18&gt;0,IF(M109=0,"",M109),IF(S109=0,"",S109))</f>
        <v/>
      </c>
      <c r="D109" t="str">
        <f>IF($M$18&gt;0,IF(N109=0,"",N109),IF(T109=0,"",T109))</f>
        <v/>
      </c>
      <c r="E109" t="str">
        <f>IF($M$18&gt;0,IF(O109=0,"",O109),IF(U109=0,"",U109))</f>
        <v/>
      </c>
      <c r="K109" t="s">
        <v>154</v>
      </c>
      <c r="L109" t="s">
        <v>14</v>
      </c>
      <c r="M109" s="9">
        <f>M108/M106/M2</f>
        <v>0</v>
      </c>
      <c r="N109" t="s">
        <v>7</v>
      </c>
    </row>
    <row r="110" spans="1:21" x14ac:dyDescent="0.25">
      <c r="A110" t="str">
        <f>IF($M$18&gt;0,IF(K110=0,"",K110),IF(Q110=0,"",Q110))</f>
        <v/>
      </c>
      <c r="B110" t="str">
        <f>IF($M$18&gt;0,IF(L110=0,"",L110),IF(R110=0,"",R110))</f>
        <v/>
      </c>
      <c r="C110" t="str">
        <f>IF($M$18&gt;0,IF(M110=0,"",M110),IF(S110=0,"",S110))</f>
        <v/>
      </c>
      <c r="D110" t="str">
        <f>IF($M$18&gt;0,IF(N110=0,"",N110),IF(T110=0,"",T110))</f>
        <v/>
      </c>
      <c r="E110" t="str">
        <f>IF($M$18&gt;0,IF(O110=0,"",O110),IF(U110=0,"",U110))</f>
        <v/>
      </c>
      <c r="K110" t="s">
        <v>155</v>
      </c>
      <c r="L110" t="s">
        <v>93</v>
      </c>
      <c r="M110" s="9">
        <f>M109/M105</f>
        <v>0</v>
      </c>
      <c r="N110" t="s">
        <v>7</v>
      </c>
      <c r="O110" t="s">
        <v>149</v>
      </c>
    </row>
    <row r="111" spans="1:21" ht="18" x14ac:dyDescent="0.35">
      <c r="A111" t="str">
        <f>IF($M$18&gt;0,IF(K111=0,"",K111),IF(Q111=0,"",Q111))</f>
        <v/>
      </c>
      <c r="B111" t="str">
        <f>IF($M$18&gt;0,IF(L111=0,"",L111),IF(R111=0,"",R111))</f>
        <v/>
      </c>
      <c r="C111" t="str">
        <f>IF($M$18&gt;0,IF(M111=0,"",M111),IF(S111=0,"",S111))</f>
        <v/>
      </c>
      <c r="D111" t="str">
        <f>IF($M$18&gt;0,IF(N111=0,"",N111),IF(T111=0,"",T111))</f>
        <v/>
      </c>
      <c r="E111" t="str">
        <f>IF($M$18&gt;0,IF(O111=0,"",O111),IF(U111=0,"",U111))</f>
        <v/>
      </c>
      <c r="K111" t="s">
        <v>156</v>
      </c>
      <c r="L111" s="14" t="s">
        <v>157</v>
      </c>
      <c r="M111" s="17">
        <v>3.0000000000000001E-3</v>
      </c>
      <c r="O111" t="s">
        <v>158</v>
      </c>
    </row>
    <row r="112" spans="1:21" ht="18" x14ac:dyDescent="0.35">
      <c r="A112" t="str">
        <f>IF($M$18&gt;0,IF(K112=0,"",K112),IF(Q112=0,"",Q112))</f>
        <v/>
      </c>
      <c r="B112" t="str">
        <f>IF($M$18&gt;0,IF(L112=0,"",L112),IF(R112=0,"",R112))</f>
        <v/>
      </c>
      <c r="C112" t="str">
        <f>IF($M$18&gt;0,IF(M112=0,"",M112),IF(S112=0,"",S112))</f>
        <v/>
      </c>
      <c r="D112" t="str">
        <f>IF($M$18&gt;0,IF(N112=0,"",N112),IF(T112=0,"",T112))</f>
        <v/>
      </c>
      <c r="E112" t="str">
        <f>IF($M$18&gt;0,IF(O112=0,"",O112),IF(U112=0,"",U112))</f>
        <v/>
      </c>
      <c r="K112" t="s">
        <v>159</v>
      </c>
      <c r="L112" s="14" t="s">
        <v>160</v>
      </c>
      <c r="M112" s="17" t="e">
        <f>M111*(M113-M110)/M110</f>
        <v>#DIV/0!</v>
      </c>
    </row>
    <row r="113" spans="1:21" x14ac:dyDescent="0.25">
      <c r="A113" t="str">
        <f>IF($M$18&gt;0,IF(K113=0,"",K113),IF(Q113=0,"",Q113))</f>
        <v/>
      </c>
      <c r="B113" t="str">
        <f>IF($M$18&gt;0,IF(L113=0,"",L113),IF(R113=0,"",R113))</f>
        <v/>
      </c>
      <c r="C113" t="str">
        <f>IF($M$18&gt;0,IF(M113=0,"",M113),IF(S113=0,"",S113))</f>
        <v/>
      </c>
      <c r="D113" t="str">
        <f>IF($M$18&gt;0,IF(N113=0,"",N113),IF(T113=0,"",T113))</f>
        <v/>
      </c>
      <c r="E113" t="str">
        <f>IF($M$18&gt;0,IF(O113=0,"",O113),IF(U113=0,"",U113))</f>
        <v/>
      </c>
      <c r="K113" t="s">
        <v>161</v>
      </c>
      <c r="L113" s="14" t="s">
        <v>13</v>
      </c>
      <c r="M113" s="9">
        <f>M4-C29</f>
        <v>6.75</v>
      </c>
      <c r="N113" t="s">
        <v>7</v>
      </c>
    </row>
    <row r="114" spans="1:21" ht="18" x14ac:dyDescent="0.35">
      <c r="A114" t="str">
        <f>IF($M$18&gt;0,IF(K114=0,"",K114),IF(Q114=0,"",Q114))</f>
        <v/>
      </c>
      <c r="B114" t="str">
        <f>IF($M$18&gt;0,IF(L114=0,"",L114),IF(R114=0,"",R114))</f>
        <v/>
      </c>
      <c r="C114" t="str">
        <f>IF($M$18&gt;0,IF(M114=0,"",M114),IF(S114=0,"",S114))</f>
        <v/>
      </c>
      <c r="D114" t="str">
        <f>IF($M$18&gt;0,IF(N114=0,"",N114),IF(T114=0,"",T114))</f>
        <v/>
      </c>
      <c r="E114" t="str">
        <f>IF($M$18&gt;0,IF(O114=0,"",O114),IF(U114=0,"",U114))</f>
        <v/>
      </c>
      <c r="K114" t="s">
        <v>162</v>
      </c>
      <c r="L114" s="14" t="s">
        <v>163</v>
      </c>
      <c r="M114" s="10">
        <f>M108*(M113-M109/2)</f>
        <v>0</v>
      </c>
      <c r="N114" t="s">
        <v>119</v>
      </c>
    </row>
    <row r="115" spans="1:21" ht="18" x14ac:dyDescent="0.35">
      <c r="A115" t="str">
        <f>IF($M$18&gt;0,IF(K115=0,"",K115),IF(Q115=0,"",Q115))</f>
        <v>Allowed moment</v>
      </c>
      <c r="B115" t="str">
        <f>IF($M$18&gt;0,IF(L115=0,"",L115),IF(R115=0,"",R115))</f>
        <v>ɸMn</v>
      </c>
      <c r="C115" s="10">
        <f>IF($M$18&gt;0,IF(M115=0,"",M115),IF(S115=0,"",S115))</f>
        <v>96000</v>
      </c>
      <c r="D115" t="str">
        <f>IF($M$18&gt;0,IF(N115=0,"",N115),IF(T115=0,"",T115))</f>
        <v>in-lbs</v>
      </c>
      <c r="E115" t="str">
        <f>IF($M$18&gt;0,IF(O115=0,"",O115),IF(U115=0,"",U115))</f>
        <v>(ACI 318R-14 14.5.2.1)</v>
      </c>
      <c r="K115" t="s">
        <v>164</v>
      </c>
      <c r="L115" s="14" t="s">
        <v>165</v>
      </c>
      <c r="M115" s="10" t="e">
        <f>M114*M104</f>
        <v>#DIV/0!</v>
      </c>
      <c r="N115" t="s">
        <v>119</v>
      </c>
      <c r="Q115" t="s">
        <v>164</v>
      </c>
      <c r="R115" s="14" t="s">
        <v>165</v>
      </c>
      <c r="S115" s="10">
        <f>S106*S104</f>
        <v>96000</v>
      </c>
      <c r="T115" t="s">
        <v>119</v>
      </c>
      <c r="U115" t="s">
        <v>199</v>
      </c>
    </row>
    <row r="116" spans="1:21" x14ac:dyDescent="0.25">
      <c r="M116" s="18"/>
    </row>
    <row r="117" spans="1:21" x14ac:dyDescent="0.25">
      <c r="M117" s="18"/>
    </row>
    <row r="118" spans="1:21" x14ac:dyDescent="0.25">
      <c r="M118" s="18"/>
    </row>
    <row r="119" spans="1:21" x14ac:dyDescent="0.25">
      <c r="M119" s="18"/>
    </row>
    <row r="120" spans="1:21" x14ac:dyDescent="0.25">
      <c r="M120" s="18"/>
    </row>
    <row r="121" spans="1:21" x14ac:dyDescent="0.25">
      <c r="M121" s="18"/>
    </row>
    <row r="122" spans="1:21" x14ac:dyDescent="0.25">
      <c r="M122" s="18"/>
    </row>
    <row r="123" spans="1:21" x14ac:dyDescent="0.25">
      <c r="K123" s="3"/>
    </row>
    <row r="126" spans="1:21" x14ac:dyDescent="0.25">
      <c r="M126" s="2"/>
    </row>
    <row r="127" spans="1:21" x14ac:dyDescent="0.25">
      <c r="M127" s="2"/>
    </row>
    <row r="133" spans="11:16" x14ac:dyDescent="0.25">
      <c r="K133" s="26"/>
      <c r="L133" s="26"/>
      <c r="M133" s="26"/>
      <c r="N133" s="26"/>
      <c r="O133" s="26"/>
      <c r="P133" s="26"/>
    </row>
    <row r="134" spans="11:16" x14ac:dyDescent="0.25">
      <c r="K134" s="26"/>
      <c r="L134" s="26"/>
      <c r="M134" s="26"/>
      <c r="N134" s="26"/>
      <c r="O134" s="26"/>
      <c r="P134" s="26"/>
    </row>
    <row r="135" spans="11:16" x14ac:dyDescent="0.25">
      <c r="K135" s="26"/>
      <c r="L135" s="26"/>
      <c r="M135" s="26"/>
      <c r="N135" s="26"/>
      <c r="O135" s="26"/>
      <c r="P135" s="26"/>
    </row>
    <row r="136" spans="11:16" x14ac:dyDescent="0.25">
      <c r="K136" s="26"/>
      <c r="L136" s="26"/>
      <c r="M136" s="26"/>
      <c r="N136" s="26"/>
      <c r="O136" s="26"/>
      <c r="P136" s="26"/>
    </row>
    <row r="137" spans="11:16" x14ac:dyDescent="0.25">
      <c r="K137" s="26"/>
      <c r="L137" s="26"/>
      <c r="M137" s="26"/>
      <c r="N137" s="26"/>
      <c r="O137" s="26"/>
      <c r="P137" s="26"/>
    </row>
    <row r="138" spans="11:16" x14ac:dyDescent="0.25">
      <c r="K138" s="26"/>
      <c r="L138" s="26"/>
      <c r="M138" s="26"/>
      <c r="N138" s="26"/>
      <c r="O138" s="26"/>
      <c r="P138" s="26"/>
    </row>
    <row r="139" spans="11:16" x14ac:dyDescent="0.25">
      <c r="K139" s="26"/>
      <c r="L139" s="26"/>
      <c r="M139" s="26"/>
      <c r="N139" s="26"/>
      <c r="O139" s="26"/>
      <c r="P139" s="26"/>
    </row>
    <row r="140" spans="11:16" x14ac:dyDescent="0.25">
      <c r="K140" s="26"/>
      <c r="L140" s="26"/>
      <c r="M140" s="26"/>
      <c r="N140" s="26"/>
      <c r="O140" s="26"/>
      <c r="P140" s="26"/>
    </row>
    <row r="141" spans="11:16" x14ac:dyDescent="0.25">
      <c r="K141" s="26"/>
      <c r="L141" s="26"/>
      <c r="M141" s="26"/>
      <c r="N141" s="26"/>
      <c r="O141" s="26"/>
      <c r="P141" s="26"/>
    </row>
    <row r="142" spans="11:16" x14ac:dyDescent="0.25">
      <c r="K142" s="26"/>
      <c r="L142" s="26"/>
      <c r="M142" s="26"/>
      <c r="N142" s="26"/>
      <c r="O142" s="26"/>
      <c r="P142" s="26"/>
    </row>
    <row r="143" spans="11:16" x14ac:dyDescent="0.25">
      <c r="K143" s="26"/>
      <c r="L143" s="26"/>
      <c r="M143" s="26"/>
      <c r="N143" s="26"/>
      <c r="O143" s="26"/>
      <c r="P143" s="26"/>
    </row>
    <row r="144" spans="11:16" x14ac:dyDescent="0.25">
      <c r="K144" s="26"/>
      <c r="L144" s="26"/>
      <c r="M144" s="26"/>
      <c r="N144" s="26"/>
      <c r="O144" s="26"/>
      <c r="P144" s="26"/>
    </row>
    <row r="145" spans="11:16" x14ac:dyDescent="0.25">
      <c r="K145" s="26"/>
      <c r="L145" s="26"/>
      <c r="M145" s="26"/>
      <c r="N145" s="26"/>
      <c r="O145" s="26"/>
      <c r="P145" s="26"/>
    </row>
    <row r="146" spans="11:16" x14ac:dyDescent="0.25">
      <c r="K146" s="26"/>
      <c r="L146" s="26"/>
      <c r="M146" s="26"/>
      <c r="N146" s="26"/>
      <c r="O146" s="26"/>
      <c r="P146" s="26"/>
    </row>
    <row r="147" spans="11:16" x14ac:dyDescent="0.25">
      <c r="K147" s="26"/>
      <c r="L147" s="26"/>
      <c r="M147" s="26"/>
      <c r="N147" s="26"/>
      <c r="O147" s="26"/>
      <c r="P147" s="26"/>
    </row>
    <row r="148" spans="11:16" x14ac:dyDescent="0.25">
      <c r="K148" s="26"/>
      <c r="L148" s="26"/>
      <c r="M148" s="26"/>
      <c r="N148" s="26"/>
      <c r="O148" s="26"/>
      <c r="P148" s="26"/>
    </row>
    <row r="149" spans="11:16" x14ac:dyDescent="0.25">
      <c r="K149" s="26"/>
      <c r="L149" s="26"/>
      <c r="M149" s="26"/>
      <c r="N149" s="26"/>
      <c r="O149" s="26"/>
      <c r="P149" s="26"/>
    </row>
    <row r="150" spans="11:16" x14ac:dyDescent="0.25">
      <c r="K150" s="26"/>
      <c r="L150" s="26"/>
      <c r="M150" s="26"/>
      <c r="N150" s="26"/>
      <c r="O150" s="26"/>
      <c r="P150" s="26"/>
    </row>
    <row r="151" spans="11:16" x14ac:dyDescent="0.25">
      <c r="K151" s="26"/>
      <c r="L151" s="26"/>
      <c r="M151" s="26"/>
      <c r="N151" s="26"/>
      <c r="O151" s="26"/>
      <c r="P151" s="26"/>
    </row>
    <row r="152" spans="11:16" x14ac:dyDescent="0.25">
      <c r="K152" s="26"/>
      <c r="L152" s="26"/>
      <c r="M152" s="26"/>
      <c r="N152" s="26"/>
      <c r="O152" s="26"/>
      <c r="P152" s="26"/>
    </row>
    <row r="153" spans="11:16" x14ac:dyDescent="0.25">
      <c r="K153" s="26"/>
      <c r="L153" s="26"/>
      <c r="M153" s="26"/>
      <c r="N153" s="26"/>
      <c r="O153" s="26"/>
      <c r="P153" s="26"/>
    </row>
    <row r="154" spans="11:16" x14ac:dyDescent="0.25">
      <c r="K154" s="26"/>
      <c r="L154" s="26"/>
      <c r="M154" s="26"/>
      <c r="N154" s="26"/>
      <c r="O154" s="26"/>
      <c r="P154" s="26"/>
    </row>
    <row r="155" spans="11:16" x14ac:dyDescent="0.25">
      <c r="K155" s="26"/>
      <c r="L155" s="26"/>
      <c r="M155" s="26"/>
      <c r="N155" s="26"/>
      <c r="O155" s="26"/>
      <c r="P155" s="26"/>
    </row>
    <row r="156" spans="11:16" x14ac:dyDescent="0.25">
      <c r="K156" s="26"/>
      <c r="L156" s="26"/>
      <c r="M156" s="26"/>
      <c r="N156" s="26"/>
      <c r="O156" s="26"/>
      <c r="P156" s="26"/>
    </row>
    <row r="157" spans="11:16" x14ac:dyDescent="0.25">
      <c r="K157" s="26"/>
      <c r="L157" s="26"/>
      <c r="M157" s="26"/>
      <c r="N157" s="26"/>
      <c r="O157" s="26"/>
      <c r="P157" s="26"/>
    </row>
    <row r="158" spans="11:16" x14ac:dyDescent="0.25">
      <c r="K158" s="26"/>
      <c r="L158" s="26"/>
      <c r="M158" s="26"/>
      <c r="N158" s="26"/>
      <c r="O158" s="26"/>
      <c r="P158" s="26"/>
    </row>
  </sheetData>
  <conditionalFormatting sqref="E1:I2">
    <cfRule type="containsText" dxfId="1" priority="5" operator="containsText" text="FAILED">
      <formula>NOT(ISERROR(SEARCH("FAILED",E1)))</formula>
    </cfRule>
    <cfRule type="containsText" dxfId="0" priority="7" operator="containsText" text="PASSED">
      <formula>NOT(ISERROR(SEARCH("PASSED",E1)))</formula>
    </cfRule>
  </conditionalFormatting>
  <pageMargins left="1" right="1" top="1.75" bottom="1.25" header="0" footer="0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BM-01N</vt:lpstr>
      <vt:lpstr>'BM-01N'!Print_Area</vt:lpstr>
      <vt:lpstr>'BM-01N'!Print_Titles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 Story</cp:lastModifiedBy>
  <cp:lastPrinted>2022-04-07T19:33:34Z</cp:lastPrinted>
  <dcterms:created xsi:type="dcterms:W3CDTF">2018-12-01T21:43:14Z</dcterms:created>
  <dcterms:modified xsi:type="dcterms:W3CDTF">2022-04-07T19:35:16Z</dcterms:modified>
</cp:coreProperties>
</file>